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480" windowHeight="8445" tabRatio="832"/>
  </bookViews>
  <sheets>
    <sheet name="1.1" sheetId="11" r:id="rId1"/>
    <sheet name="2.1" sheetId="12" r:id="rId2"/>
    <sheet name="2.2" sheetId="13" r:id="rId3"/>
    <sheet name="3.1" sheetId="2" r:id="rId4"/>
    <sheet name="3.2" sheetId="3" r:id="rId5"/>
    <sheet name="3.3" sheetId="1" r:id="rId6"/>
    <sheet name="3.3-4ปี" sheetId="16" r:id="rId7"/>
    <sheet name="3.3-5ปี" sheetId="17" r:id="rId8"/>
    <sheet name="4.1" sheetId="4" r:id="rId9"/>
    <sheet name="4.2" sheetId="14" r:id="rId10"/>
    <sheet name="4.3" sheetId="5" r:id="rId11"/>
    <sheet name="5.1" sheetId="6" r:id="rId12"/>
    <sheet name="5.2" sheetId="7" r:id="rId13"/>
    <sheet name="5.3" sheetId="8" r:id="rId14"/>
    <sheet name="5.4" sheetId="9" r:id="rId15"/>
    <sheet name="6.1" sheetId="10" r:id="rId16"/>
    <sheet name="SAR" sheetId="20" r:id="rId17"/>
    <sheet name="Sheet2" sheetId="21" r:id="rId18"/>
    <sheet name="Sheet1" sheetId="15" r:id="rId19"/>
  </sheets>
  <externalReferences>
    <externalReference r:id="rId20"/>
  </externalReferences>
  <calcPr calcId="125725"/>
</workbook>
</file>

<file path=xl/calcChain.xml><?xml version="1.0" encoding="utf-8"?>
<calcChain xmlns="http://schemas.openxmlformats.org/spreadsheetml/2006/main">
  <c r="B3" i="20"/>
  <c r="G251" i="4" l="1"/>
  <c r="B251"/>
  <c r="B252"/>
  <c r="B253"/>
  <c r="B254"/>
  <c r="B255"/>
  <c r="B256"/>
  <c r="B257"/>
  <c r="B258"/>
  <c r="B259"/>
  <c r="B260"/>
  <c r="A246"/>
  <c r="H260" l="1"/>
  <c r="I258"/>
  <c r="G257"/>
  <c r="G255"/>
  <c r="H253"/>
  <c r="G260"/>
  <c r="H258"/>
  <c r="H256"/>
  <c r="I254"/>
  <c r="G253"/>
  <c r="I259"/>
  <c r="I257"/>
  <c r="G256"/>
  <c r="H254"/>
  <c r="H252"/>
  <c r="I251"/>
  <c r="G259"/>
  <c r="H257"/>
  <c r="I255"/>
  <c r="I253"/>
  <c r="G252"/>
  <c r="I260"/>
  <c r="H259"/>
  <c r="G258"/>
  <c r="I256"/>
  <c r="H255"/>
  <c r="G254"/>
  <c r="I252"/>
  <c r="H251"/>
  <c r="D15" i="17"/>
  <c r="F34" i="5"/>
  <c r="G34"/>
  <c r="E34"/>
  <c r="E27"/>
  <c r="F27" s="1"/>
  <c r="J31" i="16"/>
  <c r="K31"/>
  <c r="I31"/>
  <c r="B5"/>
  <c r="I25"/>
  <c r="J258" i="4" l="1"/>
  <c r="J255"/>
  <c r="J254"/>
  <c r="J257"/>
  <c r="J253"/>
  <c r="J260"/>
  <c r="J251"/>
  <c r="J252"/>
  <c r="J259"/>
  <c r="J256"/>
  <c r="G27" i="5"/>
  <c r="D5" i="20" l="1"/>
  <c r="E35"/>
  <c r="H35" s="1"/>
  <c r="E31"/>
  <c r="H31" s="1"/>
  <c r="E30"/>
  <c r="G30" s="1"/>
  <c r="E29"/>
  <c r="E27"/>
  <c r="G27" s="1"/>
  <c r="R27" i="14"/>
  <c r="E26" i="20" s="1"/>
  <c r="E20"/>
  <c r="H20" s="1"/>
  <c r="E18"/>
  <c r="G18" s="1"/>
  <c r="E17"/>
  <c r="H17" s="1"/>
  <c r="E16"/>
  <c r="G16" s="1"/>
  <c r="G2"/>
  <c r="G26" s="1"/>
  <c r="A1"/>
  <c r="G35"/>
  <c r="G34" s="1"/>
  <c r="D34"/>
  <c r="G31"/>
  <c r="G29"/>
  <c r="D28"/>
  <c r="H18"/>
  <c r="H16"/>
  <c r="D15"/>
  <c r="D9"/>
  <c r="E5"/>
  <c r="B2" i="16"/>
  <c r="B2" i="17"/>
  <c r="C1"/>
  <c r="K1" i="16"/>
  <c r="C15" i="17"/>
  <c r="K12"/>
  <c r="K11"/>
  <c r="K10"/>
  <c r="N9"/>
  <c r="K9"/>
  <c r="M9" s="1"/>
  <c r="N8"/>
  <c r="J8"/>
  <c r="K8" s="1"/>
  <c r="M8" s="1"/>
  <c r="N7"/>
  <c r="K7"/>
  <c r="M7" s="1"/>
  <c r="J7"/>
  <c r="N6"/>
  <c r="J6"/>
  <c r="K6" s="1"/>
  <c r="M6" s="1"/>
  <c r="B5"/>
  <c r="A6" s="1"/>
  <c r="A7" s="1"/>
  <c r="A8" s="1"/>
  <c r="A9" s="1"/>
  <c r="A10" s="1"/>
  <c r="A11" s="1"/>
  <c r="A12" s="1"/>
  <c r="J25" i="16"/>
  <c r="K25" s="1"/>
  <c r="K12"/>
  <c r="K11"/>
  <c r="K10"/>
  <c r="N9"/>
  <c r="J9"/>
  <c r="K9" s="1"/>
  <c r="M9" s="1"/>
  <c r="N8"/>
  <c r="J8"/>
  <c r="K8" s="1"/>
  <c r="M8" s="1"/>
  <c r="N7"/>
  <c r="J7"/>
  <c r="K7" s="1"/>
  <c r="M7" s="1"/>
  <c r="N6"/>
  <c r="J6"/>
  <c r="K6" s="1"/>
  <c r="M6" s="1"/>
  <c r="C5"/>
  <c r="D5" s="1"/>
  <c r="E5" s="1"/>
  <c r="F5" s="1"/>
  <c r="G5" s="1"/>
  <c r="H5" s="1"/>
  <c r="I5" s="1"/>
  <c r="G20" i="20" l="1"/>
  <c r="B15" i="17"/>
  <c r="F26" i="20"/>
  <c r="H27"/>
  <c r="H30"/>
  <c r="H26"/>
  <c r="H29"/>
  <c r="G17"/>
  <c r="G15" s="1"/>
  <c r="H15" s="1"/>
  <c r="H34"/>
  <c r="B13"/>
  <c r="C26"/>
  <c r="D19"/>
  <c r="C5" i="17"/>
  <c r="D5" s="1"/>
  <c r="E5" s="1"/>
  <c r="F5" s="1"/>
  <c r="G5" s="1"/>
  <c r="H5" s="1"/>
  <c r="I5" s="1"/>
  <c r="A6" i="16"/>
  <c r="A7" s="1"/>
  <c r="A8" s="1"/>
  <c r="A9" s="1"/>
  <c r="A10" s="1"/>
  <c r="A11" s="1"/>
  <c r="A12" s="1"/>
  <c r="K19" i="9" l="1"/>
  <c r="G20" s="1"/>
  <c r="E33" i="20" s="1"/>
  <c r="G19" i="9"/>
  <c r="C20" s="1"/>
  <c r="E32" i="20" s="1"/>
  <c r="C19" i="9"/>
  <c r="B144" i="4"/>
  <c r="B145"/>
  <c r="B146"/>
  <c r="B147"/>
  <c r="B148"/>
  <c r="B149"/>
  <c r="B150"/>
  <c r="B151"/>
  <c r="B152"/>
  <c r="B153"/>
  <c r="B154"/>
  <c r="B155"/>
  <c r="B156"/>
  <c r="B157"/>
  <c r="B143"/>
  <c r="F32" i="20" l="1"/>
  <c r="K20" i="9"/>
  <c r="K22" s="1"/>
  <c r="M88" i="3"/>
  <c r="M89"/>
  <c r="M90"/>
  <c r="M91"/>
  <c r="M92"/>
  <c r="M93"/>
  <c r="M94"/>
  <c r="M95"/>
  <c r="M96"/>
  <c r="M97"/>
  <c r="M98"/>
  <c r="M99"/>
  <c r="M100"/>
  <c r="M101"/>
  <c r="M102"/>
  <c r="M103"/>
  <c r="M104"/>
  <c r="M87"/>
  <c r="F87"/>
  <c r="F89"/>
  <c r="F90"/>
  <c r="F91"/>
  <c r="F92"/>
  <c r="F93"/>
  <c r="F94"/>
  <c r="F95"/>
  <c r="F96"/>
  <c r="F97"/>
  <c r="F98"/>
  <c r="F99"/>
  <c r="F100"/>
  <c r="F101"/>
  <c r="F102"/>
  <c r="F103"/>
  <c r="F104"/>
  <c r="J23" i="11"/>
  <c r="E23"/>
  <c r="D24" l="1"/>
  <c r="E10" i="20"/>
  <c r="H32"/>
  <c r="G32"/>
  <c r="G28" s="1"/>
  <c r="H28" s="1"/>
  <c r="F36" i="14"/>
  <c r="F33"/>
  <c r="F30"/>
  <c r="R26"/>
  <c r="F26"/>
  <c r="R25"/>
  <c r="R24"/>
  <c r="F25"/>
  <c r="E24" i="20" s="1"/>
  <c r="H10" l="1"/>
  <c r="H9" s="1"/>
  <c r="G10"/>
  <c r="G9" s="1"/>
  <c r="E9"/>
  <c r="P225" i="4"/>
  <c r="I225"/>
  <c r="P224"/>
  <c r="I224"/>
  <c r="P223"/>
  <c r="I223"/>
  <c r="P222"/>
  <c r="I222"/>
  <c r="P221"/>
  <c r="I221"/>
  <c r="P220"/>
  <c r="I220"/>
  <c r="P219"/>
  <c r="I219"/>
  <c r="P218"/>
  <c r="I218"/>
  <c r="P217"/>
  <c r="I217"/>
  <c r="P216"/>
  <c r="I216"/>
  <c r="P215"/>
  <c r="I215"/>
  <c r="P214"/>
  <c r="I214"/>
  <c r="P213"/>
  <c r="I213"/>
  <c r="P212"/>
  <c r="I212"/>
  <c r="P211"/>
  <c r="I211"/>
  <c r="P210"/>
  <c r="I210"/>
  <c r="P209"/>
  <c r="I209"/>
  <c r="P208"/>
  <c r="I208"/>
  <c r="F88" i="3"/>
  <c r="D73" i="13"/>
  <c r="D82"/>
  <c r="D81"/>
  <c r="D80"/>
  <c r="D79"/>
  <c r="D83" s="1"/>
  <c r="D78"/>
  <c r="D72"/>
  <c r="D71"/>
  <c r="D70"/>
  <c r="D69"/>
  <c r="D53"/>
  <c r="D52"/>
  <c r="D51"/>
  <c r="D50"/>
  <c r="D49"/>
  <c r="D74" l="1"/>
  <c r="F88" s="1"/>
  <c r="B92" s="1"/>
  <c r="D54"/>
  <c r="D40" l="1"/>
  <c r="D41"/>
  <c r="D42"/>
  <c r="D43"/>
  <c r="D44"/>
  <c r="D39"/>
  <c r="F23" i="14"/>
  <c r="E23" i="20" s="1"/>
  <c r="F24" s="1"/>
  <c r="H24" s="1"/>
  <c r="F24" i="14"/>
  <c r="F29" l="1"/>
  <c r="M29" s="1"/>
  <c r="G22" i="20" s="1"/>
  <c r="E22"/>
  <c r="F22" s="1"/>
  <c r="H22" s="1"/>
  <c r="F38" i="14"/>
  <c r="M39" s="1"/>
  <c r="F32"/>
  <c r="M33" s="1"/>
  <c r="G24" i="20" s="1"/>
  <c r="D45" i="13"/>
  <c r="F59" s="1"/>
  <c r="B63" s="1"/>
  <c r="G138" i="4"/>
  <c r="H138"/>
  <c r="I138"/>
  <c r="J138"/>
  <c r="F138"/>
  <c r="N164" l="1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163"/>
  <c r="I102" l="1"/>
  <c r="J102" l="1"/>
  <c r="K102" s="1"/>
  <c r="L102" s="1"/>
  <c r="M102" s="1"/>
  <c r="F130"/>
  <c r="G130" s="1"/>
  <c r="H130" s="1"/>
  <c r="I130" s="1"/>
  <c r="J130" s="1"/>
  <c r="B141"/>
  <c r="K13" i="14"/>
  <c r="Q13"/>
  <c r="K14"/>
  <c r="Q14"/>
  <c r="K15"/>
  <c r="Q15"/>
  <c r="K16"/>
  <c r="Q16"/>
  <c r="K17"/>
  <c r="Q17"/>
  <c r="K18"/>
  <c r="Q18"/>
  <c r="K19"/>
  <c r="R19" s="1"/>
  <c r="Q19"/>
  <c r="K20"/>
  <c r="Q20"/>
  <c r="K21"/>
  <c r="Q21"/>
  <c r="Q12"/>
  <c r="K12"/>
  <c r="R18" l="1"/>
  <c r="R14"/>
  <c r="R12"/>
  <c r="R16"/>
  <c r="R15"/>
  <c r="R13"/>
  <c r="R21"/>
  <c r="R20"/>
  <c r="R17"/>
  <c r="B30" i="13"/>
  <c r="B16"/>
  <c r="B24"/>
  <c r="E14" i="20" s="1"/>
  <c r="B8" i="13"/>
  <c r="B23" s="1"/>
  <c r="H14" i="12"/>
  <c r="H13"/>
  <c r="L18" s="1"/>
  <c r="E12" i="20" s="1"/>
  <c r="H12" l="1"/>
  <c r="G12"/>
  <c r="D23" i="13"/>
  <c r="B27" s="1"/>
  <c r="D27" s="1"/>
  <c r="B32" s="1"/>
  <c r="G13" i="20" s="1"/>
  <c r="E13"/>
  <c r="F13" s="1"/>
  <c r="H13" s="1"/>
  <c r="F27" i="14"/>
  <c r="F35" l="1"/>
  <c r="E25" i="20"/>
  <c r="G11"/>
  <c r="H11" s="1"/>
  <c r="M36" i="14" l="1"/>
  <c r="F25" i="20"/>
  <c r="H25" s="1"/>
  <c r="F42" i="14" l="1"/>
  <c r="G25" i="20"/>
  <c r="E21" l="1"/>
  <c r="H21" s="1"/>
  <c r="G21"/>
  <c r="G19" l="1"/>
  <c r="H19" s="1"/>
  <c r="E8"/>
  <c r="G8" l="1"/>
  <c r="H8"/>
</calcChain>
</file>

<file path=xl/comments1.xml><?xml version="1.0" encoding="utf-8"?>
<comments xmlns="http://schemas.openxmlformats.org/spreadsheetml/2006/main">
  <authors>
    <author>chalermkiat</author>
  </authors>
  <commentList>
    <comment ref="D248" authorId="0">
      <text>
        <r>
          <rPr>
            <b/>
            <sz val="16"/>
            <color indexed="81"/>
            <rFont val="Angsana New"/>
            <family val="1"/>
          </rPr>
          <t>chalermkiat:</t>
        </r>
        <r>
          <rPr>
            <sz val="16"/>
            <color indexed="81"/>
            <rFont val="Angsana New"/>
            <family val="1"/>
          </rPr>
          <t xml:space="preserve">
รูปแบบ     วัน/เดือน/ปี ค.ศ.
ตัวอย่าง     31/07/201</t>
        </r>
        <r>
          <rPr>
            <sz val="9"/>
            <color indexed="81"/>
            <rFont val="Tahoma"/>
            <family val="2"/>
          </rPr>
          <t>7</t>
        </r>
      </text>
    </comment>
    <comment ref="E249" authorId="0">
      <text>
        <r>
          <rPr>
            <b/>
            <sz val="16"/>
            <color indexed="81"/>
            <rFont val="Angsana New"/>
            <family val="1"/>
          </rPr>
          <t>chalermkiat:</t>
        </r>
        <r>
          <rPr>
            <sz val="16"/>
            <color indexed="81"/>
            <rFont val="Angsana New"/>
            <family val="1"/>
          </rPr>
          <t xml:space="preserve">
รูปแบบ     วัน/เดือน/ปี ค.ศ.
ตัวอย่าง     </t>
        </r>
        <r>
          <rPr>
            <sz val="18"/>
            <color indexed="81"/>
            <rFont val="Angsana New"/>
            <family val="1"/>
          </rPr>
          <t>02/10/2017</t>
        </r>
      </text>
    </comment>
  </commentList>
</comments>
</file>

<file path=xl/sharedStrings.xml><?xml version="1.0" encoding="utf-8"?>
<sst xmlns="http://schemas.openxmlformats.org/spreadsheetml/2006/main" count="2353" uniqueCount="576">
  <si>
    <t>ตัวบ่งชี้ที่ 3.3 ผลที่เกิดกับนักศึกษา</t>
  </si>
  <si>
    <t>กรอกข้อมูลในช่องสีฟ้า</t>
  </si>
  <si>
    <t>สีชมพูคำนวณจากโปรแกรม</t>
  </si>
  <si>
    <t>เลือกจากเมนูในช่องสีเหลือง</t>
  </si>
  <si>
    <t>ตัวบ่งชี้ที่ 3.1 การรับนักศึกษา</t>
  </si>
  <si>
    <t>เกณฑ์การประเมิน</t>
  </si>
  <si>
    <t>คะแนน</t>
  </si>
  <si>
    <t>หลักฐาน</t>
  </si>
  <si>
    <t>กลไกที่สนับสนุนการรับนักศึกษา</t>
  </si>
  <si>
    <t>ระบบการรับนักศึกษา</t>
  </si>
  <si>
    <t>รูปแบบการเตรียมความพร้อมก่อนเข้าศึกษา</t>
  </si>
  <si>
    <t>จำนวนนักศึกษาชั้นปีที่ 1</t>
  </si>
  <si>
    <t>มี/ไม่มี</t>
  </si>
  <si>
    <t>ผลการประเมินกระบวนการรับนักศึกษา</t>
  </si>
  <si>
    <t>มีการปรับปรุง/พัฒนา/บูรณาการกระบวนการจากผลการประเมิน</t>
  </si>
  <si>
    <t>ผลการประเมินการเตรียมความพร้อมก่อนเข้าศึกษา</t>
  </si>
  <si>
    <t>รายงานผลการดำเนินงานการรับนักศึกษาพร้อมรับข้อเสนอแนะจากกรรมการประจำหลักสูตร</t>
  </si>
  <si>
    <t>รายงานผลการดำเนินงานการเตรียมความพร้อมก่อนเข้าศึกษาพร้อมรับข้อเสนอแนะจากกรรมการประจำหลักสูตร</t>
  </si>
  <si>
    <t>แนวทางการปรับปรุง/พัฒนา/บูรณาการกระบวนการรับนักศึกษา</t>
  </si>
  <si>
    <t>แนวทางการปรับปรุง/พัฒนา/บูรณาการกระบวนการเตรียมความพร้อมก่อนเข้าศึกษา</t>
  </si>
  <si>
    <t>การจัดการความรู้ด้านกระบวนการรับนักศึกษา</t>
  </si>
  <si>
    <t>การจัดการความรู้ด้านการเตรียมความพร้อมก่อนเข้าศึกษา</t>
  </si>
  <si>
    <t>หลักสูตรที่มีการเทียบเคียง</t>
  </si>
  <si>
    <t>แนวปฏิบัติที่ดีด้านการรับนักศึกษา</t>
  </si>
  <si>
    <t>แนวปฏิบัติที่ดีด้านการเตรียมความพร้อมก่อนเข้าศึกษา</t>
  </si>
  <si>
    <t>ให้อธิบายกระบวนการหรือแสดงผลการดำเนินงานในประเด็นที่เกี่ยวข้องดังต่อไปนี้</t>
  </si>
  <si>
    <t>- การรับนักศึกษา</t>
  </si>
  <si>
    <t>- การเตรียมความพร้อมก่อนเข้าศึกษา</t>
  </si>
  <si>
    <t>- การควบคุมดูแลการให้คำปรึกษาวิชาการและแนะแนวแก่นักศึกษา</t>
  </si>
  <si>
    <t>- การควบคุมดูแลการให้คำปรึกษาวิทยานิพนธ์ แก่บัณฑิตศึกษา</t>
  </si>
  <si>
    <t>- การพัฒนาศักยภาพนักศึกษาและการเสริมสร้างทักษะการเรียนรู้ในศตวรรษที่ 21</t>
  </si>
  <si>
    <t>- การคงอยู่</t>
  </si>
  <si>
    <t>- การสำเร็จการศึกษา</t>
  </si>
  <si>
    <t>- ความพึงพอใจและผลการจัดการข้อร้องเรียนของนักศึกษา</t>
  </si>
  <si>
    <t>ระบบการควบคุมดูแลการให้คำปรึกษาวิชาการและแนะแนวแก่นักศึกษา</t>
  </si>
  <si>
    <t>กลไกที่สนับสนุนการควบคุมดูแลการให้คำปรึกษาวิชาการและแนะแนวแก่นักศึกษา</t>
  </si>
  <si>
    <t>แนวปฏิบัติที่ดีด้าน</t>
  </si>
  <si>
    <t>แบบตรวจหลักฐาน องค์ประกอบที่ 3 นักศึกษา</t>
  </si>
  <si>
    <t>มีรายงานผลการดำเนินงานในบางเรื่อง</t>
  </si>
  <si>
    <t>รายงานอัตราการคงอยู่ของอาจารย์</t>
  </si>
  <si>
    <t>มีรายงานผลการดำเนินงานครบทุกเรื่องตามคำอธิบายในตัวบ่งชี้</t>
  </si>
  <si>
    <t>มีแนวโน้มผลการดำเนินงานที่ดีขึ้นในบางเรื่อง</t>
  </si>
  <si>
    <t>มีแนวโน้มผลการดำเนินงานที่ดีขึ้นทุกเรื่อง</t>
  </si>
  <si>
    <t>แนวปฏิบัติที่เป็นเลิศด้าน................</t>
  </si>
  <si>
    <t>รายงานอัตราการคงอยู่ของนักศึกษา</t>
  </si>
  <si>
    <t>รายงานอัตราการสำเร็จของนักศึกษา</t>
  </si>
  <si>
    <t>รายงานความพึงพอใจของนักศึกษาต่อหลักสูตร</t>
  </si>
  <si>
    <t>แนวโน้มการคงอยู่ของนักศึกษา</t>
  </si>
  <si>
    <t>แนวโน้มความพึงพอใจของนักศึกอาจารย์ต่อหลักสูตร</t>
  </si>
  <si>
    <t>แนวโน้มอัตราการสำเร็จการศึกษา</t>
  </si>
  <si>
    <t>รายงานอัตราการสำเร็จการศึกษา</t>
  </si>
  <si>
    <t>รายละเอียด</t>
  </si>
  <si>
    <t>ตัวบ่งชี้ที่ 3.2 การส่งเสริมและพัฒนานักศึกษา</t>
  </si>
  <si>
    <t xml:space="preserve">มีผลจากการ ปรับปรุงเห็นชัดเจน เป็นรูปธรรม </t>
  </si>
  <si>
    <t xml:space="preserve">ผลจากการ ปรับปรุงเห็นชัดเจน เป็นรูปธรรม </t>
  </si>
  <si>
    <t>มีแนวทางปฏิบัตที่ดีโดยมีหลักฐานเชิงประจักษ์ยืนยันและกรรมการผู้ตรวจประเมินสามารถให้เหตุผลอธิบายการเป็นแนวปฏิบัติที่ดีได้ชัดเจน</t>
  </si>
  <si>
    <t>มีผลการดำเนินงานที่โดดเด่นเทียบกับหลักสูตรในสถาบันกลุ่มเดียวกันโดยมีหลักฐานเชิงประจักษ์ยืนยันและกรรมการผู้ตรวจประเมินสามารถให้เหตุผลอธิบายว่าเป็นผลการดำเนินงานที่โดดเด่นอย่างแท้จริง</t>
  </si>
  <si>
    <t>แบบตรวจหลักฐาน องค์ประกอบที่ 4 อาจารย์</t>
  </si>
  <si>
    <t>ตัวบ่งชี้ที่ 4.1 การบริหารและพัฒนาอาจารย์</t>
  </si>
  <si>
    <t>- ระบบการรับและแต่งตั้งอาจารย์ประจำหลักสูตร</t>
  </si>
  <si>
    <t>- ระบบการบริหารอาจารย์</t>
  </si>
  <si>
    <t>- ระบบการส่งเสริมและพัฒนาอาจารย์</t>
  </si>
  <si>
    <t>ระบบการรับและแต่งตั้งอาจารย์ประจำหลักสูตร</t>
  </si>
  <si>
    <t>กลไกที่สนับสนุนการรับและแต่งตั้งอาจารย์ประจำหลักสูตร</t>
  </si>
  <si>
    <t>ระบบการบริหารอาจารย์</t>
  </si>
  <si>
    <t>กลไกที่สนับสนุนการบริหารอาจารย์</t>
  </si>
  <si>
    <t>ระบบการส่งเสริมและพัฒนาอาจารย์</t>
  </si>
  <si>
    <t>กลไกที่สนับสนุนการส่งเสริมและพัฒนาอาจารย์</t>
  </si>
  <si>
    <t>มีจำนวนอาจารย์ประจำหลักสูตรเป็นไปตามเกณฑ์มาตราฐาน</t>
  </si>
  <si>
    <t xml:space="preserve"> </t>
  </si>
  <si>
    <t>แนวปฏิบัติที่ดีด้าน....................</t>
  </si>
  <si>
    <t>ตัวบ่งชี้ที่ 4.3 ผลที่เกิดกับอาจารย์</t>
  </si>
  <si>
    <t>- การคงอยู่ของอาจารย์</t>
  </si>
  <si>
    <t>- ความพึงพอใจ</t>
  </si>
  <si>
    <t>รายงานความพึงพอใจของอาจารย์ต่อการบริหารหลักสูตร</t>
  </si>
  <si>
    <t>แนวโน้มการคงอยู่ของอาจารย์</t>
  </si>
  <si>
    <t>แนวโน้มความพึงพอใจของอาจารย์ต่อการบริหารหลักสูตร</t>
  </si>
  <si>
    <t>แบบตรวจหลักฐาน องค์ประกอบที่ 5 หลักสูตร การเรียนการสอน การประเมินผู้เรียน</t>
  </si>
  <si>
    <t>ตัวบ่งชี้ที่ 5.1  สาระของรายวิชาในหลักสูตร</t>
  </si>
  <si>
    <t>- หลักคิดในการออกแบบหลักสูตร ข้อมูลที่ใช้ในการพัฒนาหลักสูตรและวัตถุประสงค์ของหลักสูตร</t>
  </si>
  <si>
    <t>- การปรับปรุงหลักสูตรให้ทันสมัยตามความก้าวหน้าในศาสตร์สาขานั้นๆ</t>
  </si>
  <si>
    <t>- การพิจารณาอนุมัติหัวข้อวิทยานิพนธ์และการค้นคว้าอิสระในระดับบัณฑิตศึกษา</t>
  </si>
  <si>
    <t>ระบบการจัดทำหลักสูตรใหม่</t>
  </si>
  <si>
    <t>ระบบการปรับปรุงหลักสูตร</t>
  </si>
  <si>
    <t>ระบบการพิจารณาอนุมัติหัวข้อวิทยานิพนธ์และการค้นคว้าอิสระในระดับบัณฑิตศึกษา</t>
  </si>
  <si>
    <t>ผลของการนำระบบการจัดทำหลักสูตรใหม่มาใช้</t>
  </si>
  <si>
    <t>ผลการปรับปรุงหลัก</t>
  </si>
  <si>
    <t>การปรับปรุงพัฒนาระบบการจัดทำหลักสูตร</t>
  </si>
  <si>
    <t>การปรับปรุงพัฒนาระบบการปรับปรุงหลักสูตร</t>
  </si>
  <si>
    <t>ตัวบ่งชี้ที่ 5.2  การวางระบบผู้สอนและกระบวนการจัดการเรียนการสอน</t>
  </si>
  <si>
    <t>- การพิจารณากำหนดผู้สอน</t>
  </si>
  <si>
    <t>- การกำกับ ติดตามและตรวจสอบการจัดทำ มคอ.3 และ มคอ.4</t>
  </si>
  <si>
    <t>- การแต่งตั้งอาจารย์ที่ปรึกษาวิทยานิพนธ์และการค้นคว้าอิสระในระดับบัณฑิตศึกษา</t>
  </si>
  <si>
    <t>- การกำกับกระบวนการเรียนการสอน</t>
  </si>
  <si>
    <t>- การจัดการเรียนการสอนที่มีการฝึกปฏิบัติในระดับปริญญาตรี</t>
  </si>
  <si>
    <t>- การบูรณาการพันธกิจต่างๆ กับการเรียนการสอนในระดับปริญญาตรี</t>
  </si>
  <si>
    <t>- การช่วยเหลือ กำกับ ติดตามในการทำวิทยานิพนธ์และการค้นคว้าอิสระและการตีพิมพ์ผลงานในระดับบัณฑิตศึกษา</t>
  </si>
  <si>
    <t>ระบบการกำกับกระบวนการเรียนการสอน</t>
  </si>
  <si>
    <t>ระบบการจัดการเรียนการสอนที่มีการฝึกปฏิบัติในระดับปริญญาตรี</t>
  </si>
  <si>
    <t>ผลการกำกับกระบวนการเรียนการสอน</t>
  </si>
  <si>
    <t>ผลการการจัดการเรียนการสอนที่มีการฝึกปฏิบัติในระดับปริญญาตรี</t>
  </si>
  <si>
    <t>การปรับปรุงระบบการกำกับกระบวนการเรียนการสอน</t>
  </si>
  <si>
    <t>ตัวบ่งชี้ที่ 5.3  การประเมินผู้เรียน</t>
  </si>
  <si>
    <t>- การประเมินผลการเรียนรู้ตามกรอบมาตรฐานคุณวุฒิระดับอุดมศึกษาแห่งชาติ</t>
  </si>
  <si>
    <t>- การตรวจสอบการประเมินผลการเรียนรู้ของนักศึกษา</t>
  </si>
  <si>
    <t>- การกำกับการประเมินการจัดการเรียนการสอนและประเมินหลักสูตร (มคอ.5 มคอ. 6 และ มคอ. 7)</t>
  </si>
  <si>
    <t>- การประเมินวิทยานิพนธ์และการค้นคว้าอิสระในระดับบัณฑิตศึกษา</t>
  </si>
  <si>
    <t>ตัวบ่งชี้ที่ 5.4  ผลการดำเนินงานหลักสูตรตามกรอบมาตรฐานคุณวุฒิระดับอุดมศึกษาแห่งชาติ</t>
  </si>
  <si>
    <t>ลำดับ</t>
  </si>
  <si>
    <t>ชื่อตัวบ่งชี้</t>
  </si>
  <si>
    <t>ผลการดำเนินงาน</t>
  </si>
  <si>
    <t>หมายเหตุ</t>
  </si>
  <si>
    <t>1 (บังคับ)</t>
  </si>
  <si>
    <t xml:space="preserve">อาจารย์ประจำหลักสูตรอย่างน้อยร้อยละ 80 มีส่วนร่วมในการประชุมเพื่อวางแผน ติดตาม และทบทวนการดำเนินงานหลักสูตร
</t>
  </si>
  <si>
    <t xml:space="preserve">หลักสูตร...........มีการประชุมอาจารย์ประจำหลักสูตรตลอดปีการศึกษา จำนวน.......ครั้ง โดย ครั้งที่ 1 ประชุมในช่วงก่อนเปิดภาคเรียน ในวันที่ ...................   มีอาจารย์ประจำหลักสูตรเข้าร่วมประชุมจำนวน.....คน คิด เป็นร้อยละ...... ครั้งที่ 2 ประชุมหลังจากปิดภาคเรียน ในวันที่............... มีอาจารย์ประจำหลักสูตรเข้าร่วมประชุมจำนวน...... คน คิดเป็นร้อยละ ..... ครั้งที่ 3 ประชุมในช่วงก่อนเปิดภาคฤดูร้อน ในวันที่........................ อาจารย์ประจำหลักสูตรเข้าร่วมประชุมจำนวน.... คน คิดเป็นร้อยละ..... </t>
  </si>
  <si>
    <t xml:space="preserve"> 2 (บังคับ)
</t>
  </si>
  <si>
    <t xml:space="preserve">มีรายละเอียดของหลักสูตร ตามแบบ มคอ.2 ที่สอดคล้องกับกรอบมาตรฐานคุณวุฒิระดับอุดมศึกษาแห่งชาติ หรือ มาตรฐานคุณวุฒิสาขา/สาขาวิชา (ถ้ามี)
</t>
  </si>
  <si>
    <t>มีรายละเอียดของหลักสูตร (มคอ.2) โดยจัดทำตามกรอบมาตรฐานคุณวุฒิระดับอุดมศึกษาแห่งชาติ (มคอ.1) และ/หรือมาตรฐานคุณวุฒิสาขา/สาขาวิชา ทั้งนี้หลักสูตร..................ได้ผ่านการเห็นชอบจากสภามหาวิทยาลัยและสำนักงานคณะกรรมการการอุดมศึกษาได้รับทราบการให้ความเห็นชอบหลักสูตร ตลอดจนองค์กรวิชาชีพได้รับรองหลักสูตร</t>
  </si>
  <si>
    <t>เล่มหลักสูตร ตามแบบ มคอ.2</t>
  </si>
  <si>
    <t xml:space="preserve"> 3 (บังคับ)
</t>
  </si>
  <si>
    <t xml:space="preserve">มีรายละเอียดของรายวิชา และรายละเอียดของประสบการณ์ภาคสนาม (ถ้ามี) ตามแบบ มคอ.3 และมคอ.4 อย่างน้อยก่อนการเปิดสอนในแต่ละภาคการศึกษาให้ครบทุกรายวิชา
</t>
  </si>
  <si>
    <t>มีการจัดทำ มคอ.3 ครบทุกรายวิชาก่อนเปิดสอนในแต่ละภาคการศึกษา โดยในภาคการศึกษาที่ 1/2558 มีการจัดทำ มคอ.3 จำนวน......รายวิชา  ภาคการศึกษาที่ 2/2558 มีการจัดทำ มคอ.3 จำนวน........รายวิชา และ ในภาคการศึกษาที่ 3/2558 มีการจัดทำ มคอ.3 จำนวน............รายวิชา</t>
  </si>
  <si>
    <t xml:space="preserve">FORM TQF-3.5 /เอกสาร มคอ.3
</t>
  </si>
  <si>
    <t xml:space="preserve"> 4 (บังคับ)
</t>
  </si>
  <si>
    <t xml:space="preserve">จัดทำรายงานผลการดำเนินการของรายวิชา และรายงานผลการดำเนินการของประสบการณ์ภาคสนาม(ถ้ามี)ตามแบบ มคอ.5 และ มคอ.6 ภายใน 30 วัน หลังสิ้นสุดภาคการศึกษาที่เปิดสอน ให้ครบทุกรายวิชา
</t>
  </si>
  <si>
    <t>มีการจัดทำรายงานผลการดำเนินงานของรายวิชา (มคอ.5) ครบทุกรายวิชา หลังสิ้นสุดภาคการศึกษา โดยในภาคการศึกษาที่ 1/2558 มีการจัดทำ มคอ.5 จำนวน.....รายวิชา ภาคการศึกษา2/2558 มีการจัดทำ มคอ.5 จำนวน.....รายวิชา และในภาคการศึกษาที่ 3/2558 มีการจัดทำ มคอ.5 จำนวน.....รายวิชา</t>
  </si>
  <si>
    <t xml:space="preserve"> 5 (บังคับ)
</t>
  </si>
  <si>
    <t>จัดทำรายงานผลการดำเนินการของหลักสูตร ตามแบบ มคอ.7 ภายใน 60 วัน หลังสิ้นสุดปีการศึกษา</t>
  </si>
  <si>
    <t xml:space="preserve">จัดทำรายงานผลการดำเนินการของหลักสูตร ตามแบบมคอ.7  ลงวันที่.....................
</t>
  </si>
  <si>
    <t>มคอ.7 หลักสูตร............</t>
  </si>
  <si>
    <t>มีการทวนสอบผลสัมฤทธิ์ของนักศึกษาตามมาตรฐานผลการเรียนรู้ที่กำหนดใน มคอ.3 และ มคอ.4 (ถ้ามี) อย่างน้อยร้อยละ 25 ของรายวิชาที่เปิดสอนในแต่ละปีการศึกษา</t>
  </si>
  <si>
    <t xml:space="preserve">มีรายวิชาที่เปิดทำการเรียนการสอนตลอดปีการศึกษา 2558 ในหลักสูตร TQF โดยสาขาวิชามีการแต่งตั้งคณะกรรมการทวนสอบผลสัมฤทธิ์ของนักศึกษาตามมาตรฐานผลการเรียนรู้ที่กำหนดใน มคอ.3 (หรือ โดยมีคณะกรรมการบริหารหลักสูตรเป็นผู้ทวนสอบผลสัมฤทธิ์ของนักศึกษาตามมาตรฐานผลการเรียนรู้ที่กำหนดใน มคอ.3) ทั้งนี้มีรายวิชาที่มีการทวนสอบโดยคณะกรรมการทั้งหมด ...... รายวิชา คิดเป็นร้อยละ ............. โดยนำผลการทวนสอบเสนอในวาระการประชุมคณะกรรมการประจำหลักสูตรครั้งที่ ......... ลงวันที่ ..................
</t>
  </si>
  <si>
    <t>FORM  TQF-3.5 และ FORM    TQF-3.6</t>
  </si>
  <si>
    <t xml:space="preserve">มีการพัฒนา/ปรับปรุงการจัดการเรียนการสอน กลยุทธ์การสอนหรือ การประเมินผลการเรียนรู้ จากผลการประเมินการดำเนินงานที่รายงานใน มคอ.7 ปีที่แล้ว
</t>
  </si>
  <si>
    <t xml:space="preserve">หลักสูตร................... มีการนำผลการประเมินการดำเนินงานที่รายงานใน มคอ.7 ปีการศึกษา 2557 มาพัฒนา/ปรับปรุง ด้านการจัดการเรียนการสอน ได้แก่  ........................ ด้านกลยุทธ์การสอน ได้แก่  ............................... และการประเมินผลการเรียนรู้ ได้แก่ ...............................
</t>
  </si>
  <si>
    <t xml:space="preserve">มคอ.7 หลักสูตร ............... 
</t>
  </si>
  <si>
    <t xml:space="preserve">อาจารย์ใหม่ (ถ้ามี) ทุกคน ได้รับการปฐมนิเทศหรือคำแนะนำด้านการจัดการเรียนการสอน
</t>
  </si>
  <si>
    <t xml:space="preserve">สาขาวิชามีอาจารย์บรรจุใหม่ในปีการศึกษา 2557 จำนวน................คน โดยเข้าร่วมโครงการ ................................. (หรือ โดยได้รับคำแนะนำ/ให้ความรู้ด้านการจัดการเรียนการสอนจาก .................) ทั้งนี้มีอาจารย์ที่ได้รับการปฐมนิเทศหรือได้รับคำแนะนำทั้งหมด .................คน คิดเป็น ร้อยละ..............
</t>
  </si>
  <si>
    <t xml:space="preserve">รายชื่ออาจารย์พร้อมหนังสืออนุมัติการเข้าร่วมโครงการ ................
</t>
  </si>
  <si>
    <t>อาจารย์ประจำทุกคน ได้รับการพัฒนาทางวิชาการ และ/หรือวิชาชีพ อย่างน้อยปีละหนึ่งครั้ง</t>
  </si>
  <si>
    <t xml:space="preserve">ในปีการศึกษา 2558 อาจารย์ประจำในหลักสูตร..................................... จำนวน......................คน ได้รับการพัฒนาทางวิชาการและ/หรือวิชาชีพ จำนวน...................คน คิดเป็นร้อยละ....................
</t>
  </si>
  <si>
    <t xml:space="preserve">FORM  TQF-3.7 และ เอกสารโครงการพัฒนาบุคลากร
</t>
  </si>
  <si>
    <t xml:space="preserve">จำนวนบุคลากรสนับสนุนการเรียนการสอน (ถ้ามี) ได้รับการพัฒนาวิชาการ และ/หรือวิชาชีพ ไม่น้อยกว่าร้อยละ 50 ต่อปี
</t>
  </si>
  <si>
    <t xml:space="preserve">ในปีการศึกษา 2558 หลักสูตร ............. มีบุคลากรสายสนับสนุนการเรียนการสอน จำนวน .........คน ได้รับการพัฒนาทางวิชาการและ/หรือ วิชาชีพจำนวน .......... คน คิดเป็นร้อยละ ....................
</t>
  </si>
  <si>
    <t xml:space="preserve">เอกสารโครงการพัฒนาบุคลากร
</t>
  </si>
  <si>
    <t>ระดับความพึงพอใจของนักศึกษาปีสุดท้าย/บัณฑิตใหม่ที่มีต่อคุณภาพหลักสูตร เฉลี่ยไม่น้อยกว่า 3.5 จากคะแนนเต็ม 5.0</t>
  </si>
  <si>
    <t>ระดับความพึงพอใจของนักศึกษาปีสุดท้าย/บัณฑิตใหม่ที่มีต่อคุณภาพหลักสูตร เฉลี่ย    .................. จากคะแนนเต็ม 5.0</t>
  </si>
  <si>
    <t>ระดับความพึงพอใจของผู้ใช้บัณฑิตที่มีต่อบัณฑิตใหม่ เฉลี่ยไม่น้อยกว่า 3.5 จากคะแนนเต็ม 5.0</t>
  </si>
  <si>
    <t>ระดับความพึงพอใจของผู้ใช้บัณฑิตที่มีต่อบัณฑิตใหม่ เฉลี่ย ................................... จากคะแนนเต็ม 5.0</t>
  </si>
  <si>
    <t>แบบตรวจหลักฐาน องค์ประกอบที่ 6 สิ่งสนับสนุนการเรียนรู้</t>
  </si>
  <si>
    <t>ตัวบ่งชี้ที่ 6.1 สิ่งสนับสนุนการเรียนรู้</t>
  </si>
  <si>
    <t>- ระบบการดำเนินงานของภาควิชา/คณะ/สถาบันโดยมีส่วนร่วมของอาจารย์ประจำหลักสูตรเพื่อให้มีสิ่งสนับสนุนการเรียนรู้</t>
  </si>
  <si>
    <t>- จำนวนสิ่งสนับสนุนการเรียนรู้ที่เพียงพอและเหมาะสมต่อการจัดการเรียนการสอน</t>
  </si>
  <si>
    <t>- กระบวนการปรับปรุงตามผลการประเมินความพึงพอใจของนักศึกษาและอาจารย์ต่อสิ่งสนับสนุนการเรียนรู้</t>
  </si>
  <si>
    <t>มีระบบ มีกลไก</t>
  </si>
  <si>
    <t>มีการนำระบบและกลไกไปสู่การปฏิบัติ/ดำเนินงาน
มีการประเมินกระบวนการ</t>
  </si>
  <si>
    <t>มีการปรับปรุง/พัฒนากระบวนการจากผลการประเมิน</t>
  </si>
  <si>
    <t>ตัวบ่งชี้ที่ 1.1 การบริหารจัดการหลักสูตรตามเกณฑ์มาตรฐานหลักสูตรที่กำหนดโดยสำนักงานคณะกรรมการการอุดมศึกษา</t>
  </si>
  <si>
    <r>
      <t xml:space="preserve">โปรดขีดเครื่องหมาย </t>
    </r>
    <r>
      <rPr>
        <b/>
        <sz val="16"/>
        <color theme="1"/>
        <rFont val="Wingdings"/>
        <charset val="2"/>
      </rPr>
      <t>ü</t>
    </r>
    <r>
      <rPr>
        <b/>
        <sz val="16"/>
        <color theme="1"/>
        <rFont val="Angsana New"/>
        <family val="1"/>
      </rPr>
      <t xml:space="preserve"> ในตัวบ่งชี้ที่มีการดำเนินงานตามเกณฑ์มาตรฐานที่ สกอ.กำหนด</t>
    </r>
  </si>
  <si>
    <t>หลักสูตร</t>
  </si>
  <si>
    <t>คณะ</t>
  </si>
  <si>
    <t>องค์ประกอบ</t>
  </si>
  <si>
    <t>ตัวบ่งชี้</t>
  </si>
  <si>
    <t>1. การกำกับมาตรฐาน</t>
  </si>
  <si>
    <t xml:space="preserve"> 1. จำนวนอาจารย์ประจำหลักสูตร</t>
  </si>
  <si>
    <t xml:space="preserve"> 2. คุณสมบัติของอาจารย์ประจำหลักสูตร</t>
  </si>
  <si>
    <t xml:space="preserve"> 3. คุณสมบัติของอาจารย์ผู้รับผิดชอบหลักสูตร</t>
  </si>
  <si>
    <t xml:space="preserve"> 4. คุณสมบัติของอาจารย์ผู้สอน</t>
  </si>
  <si>
    <t xml:space="preserve"> 5. คุณสมบัติของอาจารย์ที่ปรึกษาวิทยานิพนธ์หลักและอาจารย์ที่ปรึกษาการค้นคว้าอิสระ</t>
  </si>
  <si>
    <t xml:space="preserve"> 6. คุณสมบัติของอาจารย์ที่ปรึกษาวิทยานิพนธ์ร่วม (ถ้ามี)</t>
  </si>
  <si>
    <t xml:space="preserve"> 7. คุณสมบัติของอาจารย์ผู้สอบวิทยานิพนธ์  </t>
  </si>
  <si>
    <t xml:space="preserve"> 8. การตีพิมพ์เผยแพร่ผลงานของผู้สำเร็จการศึกษา</t>
  </si>
  <si>
    <t xml:space="preserve"> 9. ภาระงานอาจารย์ที่ปรึกษาวิทยานิพนธ์และการค้นคว้าอิสระในระดับบัณฑิตศึกษา</t>
  </si>
  <si>
    <t xml:space="preserve"> 10. อาจารย์ที่ปรึกษาวิทยานิพนธ์และการค้นคว้าอิสระในระดับบัณฑิตศึกษามีผลงานวิจัยอย่างต่อเนื่องและสม่ำเสมอ</t>
  </si>
  <si>
    <t xml:space="preserve"> 11. การปรับปรุงหลักสูตรตามรอบระยะเวลาที่กำหนด</t>
  </si>
  <si>
    <t xml:space="preserve"> 12. การดำเนินงานให้เป็นไปตามตัวบ่งชี้ผลการดำเนินงานเพื่อการประกันคุณภาพหลักสูตรและการเรียนการสอนตามกรอบมาตรฐานคุณวุฒิระดับอุดมศึกษาแห่งชาติ</t>
  </si>
  <si>
    <t>สรุปผลการประเมิน</t>
  </si>
  <si>
    <t>แบบตรวจหลักฐาน    องค์ประกอบที่ 1 การกำกับมาตรฐาน</t>
  </si>
  <si>
    <t>แบบตรวจหลักฐาน องค์ประกอบที่ 2 บัณฑิต</t>
  </si>
  <si>
    <t>ตัวบ่งชี้ที่ 2.1 คุณภาพบัณฑิตตามกรอบมาตรฐานคุณวุฒิระดับอุดมศึกษาแห่งชาติ</t>
  </si>
  <si>
    <t>กรอบมาตรฐานคุณวุฒิระดับอุดมศึกษาแห่งชาติ</t>
  </si>
  <si>
    <t>1. ด้านคุณธรรม</t>
  </si>
  <si>
    <t>2. ด้านความรู้</t>
  </si>
  <si>
    <t>3. ด้านทักษะทางปัญญา</t>
  </si>
  <si>
    <t>4. ด้านทักษะความสัมพันธ์ระหว่างบุคคลและความรับผิดชอบ</t>
  </si>
  <si>
    <t>5. ด้านทักษะการวิเคราะห์เชิงตัวเลข การสื่อสารและการใช้เทคโนโลยีสารสนเทศ</t>
  </si>
  <si>
    <t>กรอกข้อมูลในช่องสีเหลือง</t>
  </si>
  <si>
    <t>จำนวนบัณฑิตที่สำเร็จการศึกษา ปีการศึกษา</t>
  </si>
  <si>
    <t>เลือกจากเมนูในช่องสีฟ้า</t>
  </si>
  <si>
    <t>จำนวนบัณฑิตที่ได้รับการประเมินจากผู้ใช้บัณฑิตทั้งหมด</t>
  </si>
  <si>
    <t>ผลรวมของค่าคะแนนที่ได้จากการประเมินบัณฑิต</t>
  </si>
  <si>
    <t>คะแนนที่ได้รับจากการประเมิน</t>
  </si>
  <si>
    <t>ร้อยละบัณฑิตที่ได้รับการประเมิน</t>
  </si>
  <si>
    <t>จำนวนบัณฑิตที่รับการประเมินจากผู้ใช้บัณฑิตจะต้องไม่น้อยกว่าร้อยละ 20 ของจำนวนบัณฑิตที่สำเร็จการศึกษา</t>
  </si>
  <si>
    <t>ปีปฏิทิน</t>
  </si>
  <si>
    <t>คน</t>
  </si>
  <si>
    <t>สูตรการคำนวณ</t>
  </si>
  <si>
    <t>1. ร้อยละของบัณฑิตปริญญาตรีที่ได้งานทำหรือประกอบอาชีพอิสระภายใน1 ปี</t>
  </si>
  <si>
    <t xml:space="preserve">       - ตรงสาขาที่เรียน</t>
  </si>
  <si>
    <t>=</t>
  </si>
  <si>
    <t xml:space="preserve">       - ไม่ตรงสาขาที่เรียน</t>
  </si>
  <si>
    <t>จำนวนบัณฑิตที่ประกอบอาชีพอิสระ</t>
  </si>
  <si>
    <t>2. แปลงค่าร้อยละที่คำนวณได้ในข้อที่ 1 เทียบกับคะแนนเต็ม 5.00</t>
  </si>
  <si>
    <t>จำนวนบัณฑิตที่ศึกษาต่อ</t>
  </si>
  <si>
    <t>จำนวนบัณฑิตที่อุปสมบท</t>
  </si>
  <si>
    <t>คะแนนที่ได้ =</t>
  </si>
  <si>
    <t xml:space="preserve">    - ระดับปริญญาโทที่จบโดยแผน ก (ภาคปกติและภาคพิเศษ)</t>
  </si>
  <si>
    <t>ร้อยละบัณฑิตที่ตอบแบบสำรวจ     =</t>
  </si>
  <si>
    <t xml:space="preserve">    - ระดับปริญญาโทที่จบโดยแผน ข (ภาคปกติและภาคพิเศษ)</t>
  </si>
  <si>
    <t>พัฒนาโดย</t>
  </si>
  <si>
    <t>ผู้ช่วยศาสตราจารย์ ดร.เฉลิมเกียรติ  ดุลสัมพันธ์</t>
  </si>
  <si>
    <t>คณะวิทยาศาสตร์  มหาวิทยาลัยราชภัฏจันทรเกษม</t>
  </si>
  <si>
    <t>cdulsamphan@yahoo.com    TEL: 081-7134828</t>
  </si>
  <si>
    <t>ผ่าน</t>
  </si>
  <si>
    <t>-</t>
  </si>
  <si>
    <t>มี</t>
  </si>
  <si>
    <t>ตัวบ่งชี้ที่ 4.2  คุณภาพอาจารย์</t>
  </si>
  <si>
    <t>ให้รายงานผลการดำเนินงานในประเด็นที่เกี่ยวข้องดังต่อไปนี้</t>
  </si>
  <si>
    <t>- ร้อยละของอาจารย์ประจำหลักสูตรที่มีคุณวุฒิปริญญาเอก</t>
  </si>
  <si>
    <t>- ร้อยละของอาจารย์ประจำหลักสูตรที่ดำรงตำแหน่งทางวิชาการ</t>
  </si>
  <si>
    <t>- ผลงานทางวิชาการของอาจารย์ประจำหลักสูตร</t>
  </si>
  <si>
    <t>- จำนวนบทความของอาจารย์ประจำหลักสูตรปริญญาเอกที่ได้รับการอ้างอิงในฐานข้อมูล TCI และ Scopus ต่อจำนวนอาจารย์ประจำหลักสูตร</t>
  </si>
  <si>
    <t>ที่</t>
  </si>
  <si>
    <t>ชื่อ-สกุล</t>
  </si>
  <si>
    <t>ตำแหน่งทางวิชาการ</t>
  </si>
  <si>
    <t>วุฒิการศึกษา</t>
  </si>
  <si>
    <t>รวมค่าน้ำหนัก</t>
  </si>
  <si>
    <t>จำนวนระดับคุณภาพงานสร้างสรรค์ที่มีค่าน้ำหนัก</t>
  </si>
  <si>
    <t>รวมค่าน้ำหนักทั้งหมด</t>
  </si>
  <si>
    <t>จำนวนบทความที่ได้รับการอ้างอิง</t>
  </si>
  <si>
    <t>ปริญญาเอก</t>
  </si>
  <si>
    <t>ปริญญาตรี</t>
  </si>
  <si>
    <t>จำนวนระดับคุณภาพผลงาน    ทางวิชาการที่มีค่าน้ำหนัก</t>
  </si>
  <si>
    <t>แผนบริหารอาจารย์</t>
  </si>
  <si>
    <t>วัตถุประสงค์ระบบการบริหารและพัฒนาอาจารย์</t>
  </si>
  <si>
    <t>อาจารย์ใหม่</t>
  </si>
  <si>
    <t xml:space="preserve">   1. มีการจัดอบรมเพื่อให้ความรู้ในด้านเทคนิควิธีการสอน  การวัดประเมินผล  ตลอดจนจรรยาบรรณและระเบียบที่เกี่ยวข้อง </t>
  </si>
  <si>
    <t xml:space="preserve">   2. มีการปฐมนิเทศและแนะนำเส้นทางการเป็นอาจารย์ในมหาวิทยาลัยฯ</t>
  </si>
  <si>
    <t xml:space="preserve">  1. ส่งเสริมให้อาจารย์ทุกคนได้พัฒนาตนเองให้มีคุณภาพมาตรฐานทางวิชาชีพอย่างต่อเนื่อง</t>
  </si>
  <si>
    <t xml:space="preserve">  2. มีการพัฒนาศักยภาพอาจารย์ให้เป็นไปตามมาตรฐานและมีศักยภาพที่สูงขึ้น เพื่อส่งผลต่อคุณภาพของบัณฑิต </t>
  </si>
  <si>
    <t xml:space="preserve">  3. มีการควบคุม กำกับ ส่งเสริมให้อาจารย์พัฒนาตนเองในการสร้างผลงานทางวิชาการอย่างต่อเนื่อง </t>
  </si>
  <si>
    <t xml:space="preserve">  4. มีการเสริมสร้างบรรยากาศทางวิชาการระหว่างอาจารย์ทั้งในและระหว่างหลักสูตร </t>
  </si>
  <si>
    <t xml:space="preserve">  5. มีการส่งเสริมการทำวิจัยเพื่อพัฒนาอาจารย์และนักศึกษาของอาจารย์</t>
  </si>
  <si>
    <t xml:space="preserve">   3. จัดอบรมเกี่ยวแนวทางการบริหารหลักสูตร</t>
  </si>
  <si>
    <t>ระบบการรับอาจารย์ใหม่</t>
  </si>
  <si>
    <t>การวางแผนระยะยาวด้านอัตรากำลังอาจารย์ให้เป็นไปตามเกณฑ์มาตรฐานหลักสูตร</t>
  </si>
  <si>
    <t>การเข้าสู่ตำแหน่งวิชาการและศึกษาต่อ (ปีการศึกษา)</t>
  </si>
  <si>
    <t>ปีการศึกษา</t>
  </si>
  <si>
    <t>ผศ.</t>
  </si>
  <si>
    <t>รศ.</t>
  </si>
  <si>
    <t>ประเภทงบประมาณ</t>
  </si>
  <si>
    <t>จำนวนเงิน (บาท)</t>
  </si>
  <si>
    <t>หน่วย</t>
  </si>
  <si>
    <t>งบประมาณพัฒนาฝึกอบรม</t>
  </si>
  <si>
    <t>งบประมาณการทำวิจัย</t>
  </si>
  <si>
    <t>งบประมาณการศึกษาต่อในประเทศ</t>
  </si>
  <si>
    <t>งบประมาณการศึกษาต่อต่างประเทศ</t>
  </si>
  <si>
    <t>การนำเสนอผลงานวิชาการ (คน)</t>
  </si>
  <si>
    <t>บาท/คน/ปี</t>
  </si>
  <si>
    <t>การมอบหมายภาระหน้าที่ให้เหมาะสมกับคุณวุฒิ ความรู้ ความสามารถและประสบการณ์</t>
  </si>
  <si>
    <t>ชื่อ - สกุล</t>
  </si>
  <si>
    <t>ผู้ช่วยศาสตราจารย์</t>
  </si>
  <si>
    <t>ชื่อ-สกุล อาจารย์ประจำหลักสูตร</t>
  </si>
  <si>
    <t>1. ชื่ออาจารย์ประจำและบุคลากรสายสนับสนุน</t>
  </si>
  <si>
    <t>2. ชื่อกิจกรรมที่ได้รับการพัฒนา</t>
  </si>
  <si>
    <t>3. ประเภทของกิจกรรมที่ได้รับการพัฒนา</t>
  </si>
  <si>
    <t>4. ระดับกิจกรรม</t>
  </si>
  <si>
    <t>5. ชื่อหน่วยงานที่จัดกิจกรรม</t>
  </si>
  <si>
    <t>6. ระยะเวลา</t>
  </si>
  <si>
    <t>จำนวนวันที่ได้รับการพัฒนา (วัน)</t>
  </si>
  <si>
    <t>7. ค่าใช้จ่าย</t>
  </si>
  <si>
    <t>8. หมายเหตุ</t>
  </si>
  <si>
    <t>วันเริ่มต้น</t>
  </si>
  <si>
    <t>วันสิ้นสุด</t>
  </si>
  <si>
    <t>แหล่งที่มาของค่าใช้จ่าย</t>
  </si>
  <si>
    <t>นาย .................</t>
  </si>
  <si>
    <t>..............</t>
  </si>
  <si>
    <t>นำเสนอผลงาน</t>
  </si>
  <si>
    <t>ภายนอกมหาวิทยาลัย</t>
  </si>
  <si>
    <t>........</t>
  </si>
  <si>
    <t>ทุนสนับสนุนภายในมหาวิทยาลัย</t>
  </si>
  <si>
    <t>เกณฑ์การจัดสรรหรือการจัดหางบประมาณในการพัฒนาอาจารย์ให้มีคุณวุฒิ ตำแหน่งทางวิชาการ ตามเป้าหมายที่กำหนด</t>
  </si>
  <si>
    <t>ศึกษาดูงาน</t>
  </si>
  <si>
    <t>ภายในมหาวิทยาลัย</t>
  </si>
  <si>
    <t>สัมมนา</t>
  </si>
  <si>
    <t>ปีที่เกษียณอายุ</t>
  </si>
  <si>
    <t>ไม่มี</t>
  </si>
  <si>
    <t>3. บริการวิชาการ (ครั้ง/เทอม)</t>
  </si>
  <si>
    <t>2. งานวิจัย (เรื่อง/ปี)</t>
  </si>
  <si>
    <t>อาจารย์ประจำหลักสูตร</t>
  </si>
  <si>
    <t>จำนวนอาจารย์ประจำหลักสูตร</t>
  </si>
  <si>
    <t>แผนบริหารหลักสูตรด้านจำนวนอาจารย์ประจำหลักสูตรให้เป็นไปตามเกณฑ์มาตรฐานหลักสูตร</t>
  </si>
  <si>
    <t>จำนวนอาจารย์ประจำหลักสูตรทั้งหมด</t>
  </si>
  <si>
    <t>จำนวนอาจารย์ประจำหลักสูตรที่รับใหม่</t>
  </si>
  <si>
    <t>จำนวนอาจารย์ประจำหลักสูตรที่ลาศึกษาต่อ</t>
  </si>
  <si>
    <t>จำนวนอาจารย์ (คน) ปีการศึกษา พ.ศ.</t>
  </si>
  <si>
    <t>จำนวนอาจารย์ประจำหลักสูตรที่ลาออก</t>
  </si>
  <si>
    <t>จำนวนอาจารย์ประจำหลักสูตรที่ย้ายงาน</t>
  </si>
  <si>
    <t>จำนวนอาจารย์ประจำหลักสูตรที่เกษียณอายุราชการ</t>
  </si>
  <si>
    <t>อัตราอาจารย์ประจำหลักสูตรรอการบรรจุ</t>
  </si>
  <si>
    <t>การบริหารหลักสูตรตามเกณฑ์มาตรฐานหลักสูตร</t>
  </si>
  <si>
    <t>&gt;18</t>
  </si>
  <si>
    <t xml:space="preserve">คะแนนการประเมินตนเอง ตัวบ่งชี้ที่ 4.1 การบริหารและพัฒนาอาจารย์ </t>
  </si>
  <si>
    <t>คะแนนการประเมินตนเอง ตัวบ่งชี้ที่ 3.1 การรับนักศึกษา</t>
  </si>
  <si>
    <t>คะแนนการประเมินตนเอง ตัวบ่งชี้ที่ 6.1 สิ่งสนับสนุนการเรียนรู้</t>
  </si>
  <si>
    <t>คะแนนการประเมินตนเอง ตัวบ่งชี้ที่ 5.4  ผลการดำเนินงานหลักสูตรตามกรอบมาตรฐานคุณวุฒิระดับอุดมศึกษาแห่งชาติ</t>
  </si>
  <si>
    <t>คะแนนการประเมินตนเอง ตัวบ่งชี้ที่ 5.3  การประเมินผู้เรียน</t>
  </si>
  <si>
    <t>คะแนนการประเมินตนเอง ตัวบ่งชี้ที่ 5.2  การวางระบบผู้สอนและกระบวนการจัดการเรียนการสอน</t>
  </si>
  <si>
    <t>คะแนนการประเมินตนเอง ตัวบ่งชี้ที่ 5.1  สาระของรายวิชาในหลักสูตร</t>
  </si>
  <si>
    <t>คะแนนการประเมินตนเอง ตัวบ่งชี้ที่ 4.3 ผลที่เกิดกับอาจารย์</t>
  </si>
  <si>
    <t>คะแนนการประเมินตนเอง ตัวบ่งชี้ที่ 3.3 ผลที่เกิดกับนักศึกษา</t>
  </si>
  <si>
    <t>คะแนนการประเมินตนเอง ตัวบ่งชี้ที่ 3.2 การส่งเสริมและพัฒนานักศึกษา</t>
  </si>
  <si>
    <r>
      <t xml:space="preserve">ตัวบ่งชี้ที่ 2.2 </t>
    </r>
    <r>
      <rPr>
        <b/>
        <sz val="16"/>
        <color rgb="FFFF0000"/>
        <rFont val="Angsana New"/>
        <family val="1"/>
      </rPr>
      <t>(ปริญญาตรี)</t>
    </r>
    <r>
      <rPr>
        <b/>
        <sz val="16"/>
        <rFont val="Angsana New"/>
        <family val="1"/>
      </rPr>
      <t xml:space="preserve"> (สกอ.)</t>
    </r>
    <r>
      <rPr>
        <sz val="16"/>
        <rFont val="Angsana New"/>
        <family val="1"/>
      </rPr>
      <t xml:space="preserve"> ร้อยละของบัณฑิตปริญญาตรีที่ได้งานทำหรือประกอบอาชีพอิสระภายใน 1  ปี</t>
    </r>
  </si>
  <si>
    <r>
      <t> จำนวนบัณฑิต</t>
    </r>
    <r>
      <rPr>
        <b/>
        <sz val="16"/>
        <color theme="1"/>
        <rFont val="Angsana New"/>
        <family val="1"/>
      </rPr>
      <t>ทั้งหมด</t>
    </r>
  </si>
  <si>
    <r>
      <t> จำนวนบัณฑิต</t>
    </r>
    <r>
      <rPr>
        <b/>
        <sz val="16"/>
        <color theme="1"/>
        <rFont val="Angsana New"/>
        <family val="1"/>
      </rPr>
      <t>ที่ตอบแบบสำรวจ</t>
    </r>
  </si>
  <si>
    <r>
      <t> จำนวนบัณฑิต</t>
    </r>
    <r>
      <rPr>
        <b/>
        <sz val="16"/>
        <color theme="1"/>
        <rFont val="Angsana New"/>
        <family val="1"/>
      </rPr>
      <t>ที่ได้งานทำหลังสำเร็จการศึกษา (ไม่นับผู้ประกอบอาชีพอิสระ)</t>
    </r>
  </si>
  <si>
    <r>
      <t> จำนวนผู้สำเร็จการศึกษา</t>
    </r>
    <r>
      <rPr>
        <b/>
        <sz val="16"/>
        <color theme="1"/>
        <rFont val="Angsana New"/>
        <family val="1"/>
      </rPr>
      <t>ที่มีงานทำก่อนเข้าศึกษา</t>
    </r>
  </si>
  <si>
    <r>
      <t> จำนวนบัณฑิตที่</t>
    </r>
    <r>
      <rPr>
        <b/>
        <sz val="16"/>
        <color theme="1"/>
        <rFont val="Angsana New"/>
        <family val="1"/>
      </rPr>
      <t>เกณฑ์ทหาร</t>
    </r>
  </si>
  <si>
    <r>
      <t xml:space="preserve"> </t>
    </r>
    <r>
      <rPr>
        <sz val="16"/>
        <color theme="1"/>
        <rFont val="Angsana New"/>
        <family val="1"/>
      </rPr>
      <t>จำนวนผู้สำเร็จการศึกษา</t>
    </r>
    <r>
      <rPr>
        <b/>
        <sz val="16"/>
        <color theme="1"/>
        <rFont val="Angsana New"/>
        <family val="1"/>
      </rPr>
      <t>ระดับปริญญาโททั้งหมด (ภาคปกติและภาคพิเศษ)</t>
    </r>
  </si>
  <si>
    <r>
      <t xml:space="preserve"> </t>
    </r>
    <r>
      <rPr>
        <sz val="16"/>
        <color theme="1"/>
        <rFont val="Angsana New"/>
        <family val="1"/>
      </rPr>
      <t>จำนวนผู้สำเร็จการศึกษา</t>
    </r>
    <r>
      <rPr>
        <b/>
        <sz val="16"/>
        <color theme="1"/>
        <rFont val="Angsana New"/>
        <family val="1"/>
      </rPr>
      <t>ระดับปริญญาเอกทั้งหมด</t>
    </r>
  </si>
  <si>
    <t>คะแนนการประเมินตนเอง ตัวบ่งชี้ที่ 2.1 คุณภาพบัณฑิตตามกรอบมาตรฐานคุณวุฒิระดับอุดมศึกษาแห่งชาติ</t>
  </si>
  <si>
    <t>R</t>
  </si>
  <si>
    <t>ค่าร้อยละ    =</t>
  </si>
  <si>
    <t>ชนิดของตัวบ่งชี้: ผลลัพธ์</t>
  </si>
  <si>
    <t>คะแนนการประเมินตนเอง ตัวบ่งชี้ที่ 2.2 (ปริญญาตรี) ร้อยละของบัณฑิตปริญญาตรีที่ได้งานทำหรือประกอบอาชีพอิสระภายใน 1  ปี</t>
  </si>
  <si>
    <t>ค่าน้ำหนักคุณภาพผลงานทางวิชาการ</t>
  </si>
  <si>
    <t>ร้อยละอาจารย์ที่ดำรงตำแหน่งทางวิชาการ</t>
  </si>
  <si>
    <t>คะแนนการประเมินตนเอง ตัวบ่งชี้ที่ 4.2  คุณภาพอาจารย์</t>
  </si>
  <si>
    <t>นาย</t>
  </si>
  <si>
    <t>ปริญญาโท</t>
  </si>
  <si>
    <t>หลักสูตรระดับ</t>
  </si>
  <si>
    <r>
      <t xml:space="preserve">ตัวบ่งชี้ที่ 2.2 </t>
    </r>
    <r>
      <rPr>
        <b/>
        <sz val="16"/>
        <color rgb="FFFF0000"/>
        <rFont val="Angsana New"/>
        <family val="1"/>
      </rPr>
      <t>(ปริญญาโท)</t>
    </r>
    <r>
      <rPr>
        <b/>
        <sz val="16"/>
        <rFont val="Angsana New"/>
        <family val="1"/>
      </rPr>
      <t xml:space="preserve"> ผลงาน</t>
    </r>
    <r>
      <rPr>
        <sz val="16"/>
        <rFont val="Angsana New"/>
        <family val="1"/>
      </rPr>
      <t>ของนักศึกษาและผู้สำเร็จการศึกษาในระดับปริญญาโทที่ได้รับการตรีพิมพ์หรือเผยแพร่</t>
    </r>
  </si>
  <si>
    <t>ค่าน้ำหนัก</t>
  </si>
  <si>
    <t>จำนวนผลงาน</t>
  </si>
  <si>
    <t>ผลรวม</t>
  </si>
  <si>
    <t>ผลรวมถ่วงน้ำหนักของผลงานที่ตีพิมพ์หรือเผยแพร่ของนักศึกษาและผู้สำเร็จการศึกษาระดับปริญญาโท</t>
  </si>
  <si>
    <t xml:space="preserve"> - บทความฉบับสมบูรณ์ที่ตีพิมพ์ในรายงานสืบเนื่องจากการการประชุมวิชาการระดับชาติหรือในวารสารทางวิชาการที่ไม่อยู่ในฐานข้อมูลตามประกาศ ก.พ.อ. หรือระเบียบคณะกรรมการการอุดมศึกษาว่าด้วยหลักเกณฑ์การพิจารณาวารสารทางวิชาการสำหรับการเผยแพร่ผลงานทางวิชาการ พ.ศ. 2556 แต่สถาบันนำเสนอสภาสถาบันอนุมัติและจัดทำเป็นประกาศให้ทราบเป็นทางการทั่วไปและแจ้งให้ กพอ./กกอ. ทราบภายใน 30 วันนับแต่วันที่ออกประกาศ
 - ผลงานที่ได้รับการจดอนุสิทธิบัตร</t>
  </si>
  <si>
    <t xml:space="preserve"> -บทความฉบับสมบูรณ์ที่ตีพิมพ์ในลักษณะใดลักษณะหนึ่ง</t>
  </si>
  <si>
    <t xml:space="preserve"> - บทความฉบับสมบูรณ์ที่ตีพิมพ์ในรายงานสืบเนื่องจากการการประชุมวิชาการระดับชาติ</t>
  </si>
  <si>
    <t xml:space="preserve"> - บทความที่ตีพิมพ์ในวารสารวิชาการที่ปรากฏในฐานข้อมูล TCI กลุ่มที่ 2</t>
  </si>
  <si>
    <t xml:space="preserve"> - บทความที่ตีพิมพ์ในวารสารวิชาการระดับนานาชาติที่ไม่อยู่ในฐานข้อมูลตามประกาศ ก.พ.อ. หรือระเบียบคณะกรรมการการอุดมศึกษาว่าด้วยหลักเกณฑ์การพิจารณาวารสารทางวิชาการสำหรับการเผยแพร่ผลงานทางวิชาการ พ.ศ. 2556 แต่สถาบันนำเสนอสภาสถาบันอนุมัติและจัดทำเป็นประกาศให้ทราบเป็นทางการทั่วไปและแจ้งให้ กพอ./กกอ. ทราบภายใน 30 วันนับแต่วันที่ออกประกาศ (ซึ่งไม่อยู่ใน Beall's list) หรือตีพิมพ์ในวารสารวิชาการที่ปรากฏในฐานข้อมูล TCI กลุ่มที่ 1</t>
  </si>
  <si>
    <t xml:space="preserve"> - บทความที่ตีพิมพ์ในวารสารวิชาการระดับนานาชาติที่ปรากฏในฐานข้อมูลระดับนานาชาติตามประกาศ ก.พ.อ. หรือระเบียบคณะกรรมการการอุดมศึกษา ว่าด้วย หลักเกณฑ์การพิจารณาวารสารทางวิชาการสำหรับการเผยแพร่ผลงานทางวิชาการ พ.ศ. 2556
 - ผลงานที่ได้รับการจดสิทธิบัตร</t>
  </si>
  <si>
    <t>ระดับคุณภาพผลงานทางวิชาการ</t>
  </si>
  <si>
    <t>ระดับคุณภาพงานสร้างสรรค์</t>
  </si>
  <si>
    <t xml:space="preserve"> - งานสร้างสรรค์ที่มีการเผยแพร่สู่สาธารณะในลักษณะใดลักษณะหนึ่ง หรือผ่านสื่ออิเล็กทรอนิกส์ Online</t>
  </si>
  <si>
    <t xml:space="preserve"> - งานสร้างสรรค์ที่ได้รับการเผยแพร่ในระดับสถาบัน</t>
  </si>
  <si>
    <t xml:space="preserve"> - งานสร้างสรรค์ที่ได้รับการเผยแพร่ในระดับชาติ</t>
  </si>
  <si>
    <t xml:space="preserve"> - งานสร้างสรรค์ที่ได้รับการเผยแพร่ในระดับความร่วมมือระหว่างประเทศ</t>
  </si>
  <si>
    <t xml:space="preserve"> - งานสร้างสรรค์ที่ได้รับการเผยแพร่ในระดับภูมิภาคอาเซียน/นานาชาติ</t>
  </si>
  <si>
    <t>ผลรวมถ่วงน้ำหนักของงานสร้างสรรค์ที่ตีพิมพ์หรือเผยแพร่ของนักศึกษาและผู้สำเร็จการศึกษาระดับปริญญาโท</t>
  </si>
  <si>
    <t>1. คำนวณร้อยละของผลรวมถ่วงน้ำหนักของงานที่ตีพิมพ์หรือเผยแพร่ต่อผู้สำเร็จการศึกษา</t>
  </si>
  <si>
    <t>จำนวนผู้สำเร็จการศึกษาระดับปริญญาโททั้งหมด</t>
  </si>
  <si>
    <t>x 100</t>
  </si>
  <si>
    <t>2. แปลงค่าร้อยละที่คำนวณได้ในข้อ 1 ทียบกับคะแนนเต็ม 5</t>
  </si>
  <si>
    <r>
      <t xml:space="preserve">ตัวบ่งชี้ที่ 2.2 </t>
    </r>
    <r>
      <rPr>
        <b/>
        <sz val="16"/>
        <color rgb="FFFF0000"/>
        <rFont val="Angsana New"/>
        <family val="1"/>
      </rPr>
      <t>(ปริญญาเอก)</t>
    </r>
    <r>
      <rPr>
        <b/>
        <sz val="16"/>
        <rFont val="Angsana New"/>
        <family val="1"/>
      </rPr>
      <t xml:space="preserve"> ผลงาน</t>
    </r>
    <r>
      <rPr>
        <sz val="16"/>
        <rFont val="Angsana New"/>
        <family val="1"/>
      </rPr>
      <t>ของนักศึกษาและผู้สำเร็จการศึกษาในระดับปริญญาเอกที่ได้รับการตรีพิมพ์หรือเผยแพร่</t>
    </r>
  </si>
  <si>
    <t xml:space="preserve"> - บทความวิจัยฉบับสมบูรณ์ที่ตีพิมพ์ในรายงานสืบเนื่องจากการการประชุมวิชาการระดับชาติ</t>
  </si>
  <si>
    <t xml:space="preserve"> - บทความวิจัยฉบับสมบูรณ์ที่ตีพิมพ์ในรายงานสืบเนื่องจากการการประชุมวิชาการระดับชาติหรือในวารสารทางวิชาการที่ไม่อยู่ในฐานข้อมูลแต่สถาบันนำเสนอสภาสถาบันเพื่ออนุมัติวารสารเหล่านี้ ตามประกาศ ก.พ.อ. หรือระเบียบคณะกรรมการการอุดมศึกษาว่าด้วยหลักเกณฑ์การพิจารณาวารสารทางวิชาการสำหรับการเผยแพร่ผลงานทางวิชาการ พ.ศ. 2556 แต่สถาบันนำเสนอสภาสถาบันอนุมัติและจัดทำเป็นประกาศให้ทราบเป็นทางการทั่วไปและแจ้งให้ กพอ./กกอ. ทราบภายใน 30 วันนับแต่วันที่ออกประกาศ
 - ผลงานที่ได้รับการจดอนุสิทธิบัตร</t>
  </si>
  <si>
    <t xml:space="preserve"> - บทความวิจัยที่ตีพิมพ์ในวารสารวิชาการที่ปรากฏในฐานข้อมูล TCI กลุ่มที่ 2</t>
  </si>
  <si>
    <t xml:space="preserve"> - บทความวิจัยที่ตีพิมพ์ในวารสารวิชาการระดับนานาชาติที่อยู่ในฐานข้อมูลที่เป็นที่ยอมรับในระดับสากลนอกเหนือจากฐานข้อมูลระดับนานาชาติตามประกาศ ก.พ.อ. หรือระเบียบคณะกรรมการการอุดมศึกษาว่าด้วยหลักเกณฑ์การพิจารณาวารสารทางวิชาการสำหรับการเผยแพร่ผลงานทางวิชาการ พ.ศ. 2556 แต่สถาบันนำเสนอสภาสถาบันอนุมัติและจัดทำเป็นประกาศให้ทราบเป็นทางการทั่วไปและแจ้งให้ กพอ./กกอ. ทราบภายใน 30 วันนับแต่วันที่ออกประกาศ (ซึ่งไม่อยู่ใน Beall's list) หรือตีพิมพ์ในวารสารวิชาการที่ปรากฏในฐานข้อมูล TCI กลุ่มที่ 1</t>
  </si>
  <si>
    <t xml:space="preserve"> - บทความวิจัยที่ตีพิมพ์ในวารสารวิชาการระดับนานาชาติที่ปรากฏในฐานข้อมูลระดับนานาชาติตามประกาศ ก.พ.อ. หรือระเบียบคณะกรรมการการอุดมศึกษา ว่าด้วย หลักเกณฑ์การพิจารณาวารสารทางวิชาการสำหรับการเผยแพร่ผลงานทางวิชาการ พ.ศ. 2556
 - ผลงานที่ได้รับการจดสิทธิบัตร</t>
  </si>
  <si>
    <t>ผลรวมถ่วงน้ำหนักของผลงานที่ตีพิมพ์หรือเผยแพร่ของนักศึกษาและผู้สำเร็จการศึกษาระดับปริญญาเอก</t>
  </si>
  <si>
    <t>ผลรวมถ่วงน้ำหนักของงานสร้างสรรค์ที่ตีพิมพ์หรือเผยแพร่ของนักศึกษาและผู้สำเร็จการศึกษาระดับปริญญาเอก</t>
  </si>
  <si>
    <t>จำนวนผู้สำเร็จการศึกษาระดับปริญญาเอกทั้งหมด</t>
  </si>
  <si>
    <t>คะแนนที่ได้   =</t>
  </si>
  <si>
    <t xml:space="preserve">คะแนนที่ได้   =   </t>
  </si>
  <si>
    <t>ความเสี่ยง</t>
  </si>
  <si>
    <t>ปัจจัยเสี่ยง</t>
  </si>
  <si>
    <t>การประเมินความเสี่ยง</t>
  </si>
  <si>
    <t>โอกาส</t>
  </si>
  <si>
    <t>ผลกระทบ</t>
  </si>
  <si>
    <t>ระดับความเสี่ยง</t>
  </si>
  <si>
    <t>แผนบริหารความเสี่ยง</t>
  </si>
  <si>
    <t>กิจกรรมควบคุมความเสี่ยง</t>
  </si>
  <si>
    <t>นักศึกษามีผลการเรียนต่ำ</t>
  </si>
  <si>
    <t>นักศึกษาลาออกกลางคัน</t>
  </si>
  <si>
    <t>นักศึกษาไม่สำเร็จตามกำหนด</t>
  </si>
  <si>
    <t>รับความเสี่ยง</t>
  </si>
  <si>
    <t>ถ่ายโอนความเสี่ยง</t>
  </si>
  <si>
    <t>แผนบริหารความเสี่ยงด้านนักศึกษา</t>
  </si>
  <si>
    <t>ความเสี่ยงด้านการบริหาร กรณีมีอาจารย์ส่วนเกิน กรณีอาจารย์ขาดแคลน กรณีมีอาจารย์สมดุลกับภาระงาน</t>
  </si>
  <si>
    <t>ความเสี่ยงด้านจรรยาบรรณที่เกี่ยวข้องกับการจัดการเรียนการสอนและการประเมินผลนักศึกษา</t>
  </si>
  <si>
    <t>ร้อยละของผลรวมถ่วงน้ำหนักของผลงานทางวิชาการ</t>
  </si>
  <si>
    <t>จำนวนอาจารย์ที่มีคุณวุฒิปริญญาเอก</t>
  </si>
  <si>
    <t>รองศาสตราจารย์</t>
  </si>
  <si>
    <t>จำนวนอาจารย์ที่มีตำแหน่งศาสตราจารย์</t>
  </si>
  <si>
    <t>จำนวนอาจารย์ที่มีคุณวุฒิปริญญาโท</t>
  </si>
  <si>
    <t>จำนวนอาจารย์ที่มีตำแหน่งรองศาสตราจารย์</t>
  </si>
  <si>
    <t>จำนวนอาจารย์ที่มีตำแหน่งผู้ช่วยศาสตราจารย์</t>
  </si>
  <si>
    <t>จำนวนอาจารย์ที่มีตำแหน่งอาจารย์</t>
  </si>
  <si>
    <t>อาจารย์</t>
  </si>
  <si>
    <t>ร้อยละอาจารย์ที่มีวุฒิปริญญาเอก     =</t>
  </si>
  <si>
    <t>ค่าร้อยละของอาจารย์ประจำหลักสูตรที่กำหนดให้คะแนนเต็ม 5</t>
  </si>
  <si>
    <t>คะแนนที่ได้</t>
  </si>
  <si>
    <t>ผลการดำเนินงาน ตัวบ่งชี้ที่ 1.1 ผ่านเกณฑ์จำนวน</t>
  </si>
  <si>
    <t>ข้อ</t>
  </si>
  <si>
    <t xml:space="preserve">           จากเกณฑ์มาตรฐานจำนวน</t>
  </si>
  <si>
    <t>ผลจากการ ปรับปรุงเห็นชัดเจน เป็นรูปธรรม ได้แก่</t>
  </si>
  <si>
    <t>cdulsamphan@yahoo.com    TEL: 081-713-4828, 090-9345-749</t>
  </si>
  <si>
    <t>นาง</t>
  </si>
  <si>
    <t>4. ทำนุบำรุงศิลปะและวัฒนธรรม
(ครั้ง/เทอม)</t>
  </si>
  <si>
    <t>1. การเรียนการสอนเฉลี่ย
(คาบ/สัปดาห์)</t>
  </si>
  <si>
    <t>5. อื่นๆ ตามที่มอบหมาย
(ครั้ง/เทอม)</t>
  </si>
  <si>
    <t>6. อบรมพัฒนาความรู้
(ครั้ง/เทอม)</t>
  </si>
  <si>
    <t>อัตราส่วนจำนวนบทความที่ได้รับการอ้างอิงต่อจำนวนอาจารย์ฯ</t>
  </si>
  <si>
    <t>อัตราส่วนบทความที่ได้รับอ้างอิงที่กำหนดให้คะแนนเต็ม 5</t>
  </si>
  <si>
    <t>ระบบการประเมินผลการเรียนรู้ตามกรอบมาตรฐานคุณวุฒิระดับอุดมศึกษาแห่งชาติ</t>
  </si>
  <si>
    <t>ระบบการพัฒนาเครื่องมือการประเมิน</t>
  </si>
  <si>
    <t>ผลการการประเมินผลการเรียนรู้ตามกรอบมาตรฐานคุณวุฒิระดับอุดมศึกษาแห่งชาติ</t>
  </si>
  <si>
    <t>ผลการการประเมินผลการเรียนรู้ที่มีการควบคุมในรายวิชาที่มีหลายกลุ่ม</t>
  </si>
  <si>
    <t>มีการประเมินกระบวนการเรื่อง</t>
  </si>
  <si>
    <t>มีการประเมินกระบวนการเรื่องดังต่ไปนี้</t>
  </si>
  <si>
    <t>ผลการกำกับกระบวนการเรียนการสอนในเรื่องดังต่อไปนี้</t>
  </si>
  <si>
    <t>ข้อที่ 1 – 5 ดำเนินการได้</t>
  </si>
  <si>
    <t xml:space="preserve">ข้อที่ 6 – 12 ดำเนินการได้ </t>
  </si>
  <si>
    <t>จากจำนวนทั้งหมด</t>
  </si>
  <si>
    <t xml:space="preserve">รวมดำเนินการทั้งหมด </t>
  </si>
  <si>
    <t>คิดเป็นร้อยละ</t>
  </si>
  <si>
    <t>ไม่รับการประเมิน</t>
  </si>
  <si>
    <t>cdulsamphan@yahoo.com    TEL: 081-7134828, 090-9345-749</t>
  </si>
  <si>
    <t>ระบบการสำรวจสิ่งสนับสนุนการเรียนรู้</t>
  </si>
  <si>
    <t>ระบบการจัดหาสิ่งสนับสนุนการเรียนรู้</t>
  </si>
  <si>
    <t>ผลการจัดหาสิ่งสนับสนุนการเรียนรู้</t>
  </si>
  <si>
    <t>การประเมินกระบวนการจัดหาสิ่งสนับสนุนการเรียนรู้</t>
  </si>
  <si>
    <t>การปรับปรุงระบบการจัดหาสิ่งสนับสนุนการเรียนรู้</t>
  </si>
  <si>
    <t>ระบบการมีส่วนร่วมในการสำรวจสิ่งสนับสนุนการเรียนรู้</t>
  </si>
  <si>
    <t>ระบบการมีส่วนร่วมในการจัดหาสิ่งสนับสนุนการเรียนรู้</t>
  </si>
  <si>
    <t>ระบบการปรับปรุงสิ่งสนับสนุนการเรียนรู้</t>
  </si>
  <si>
    <t>ผลการปรับปรุงสิ่งสนับสนุนการเรียนรู้</t>
  </si>
  <si>
    <t>การประเมินกระบวนการปรับปรุงสิ่งสนับสนุนการเรียนรู้</t>
  </si>
  <si>
    <t>การปรับปรุงระบบการปรับปรุงสิ่งสนับสนุนการเรียนรู้</t>
  </si>
  <si>
    <t>ตัวบ่งชี้ที่ 3.3</t>
  </si>
  <si>
    <t>อัคราคงอยู่นักศึกษาและอัตราการสำเร็จการศึกษาตามกำหนด</t>
  </si>
  <si>
    <t>จำนวนนักศึกษา (คน)</t>
  </si>
  <si>
    <t>อัตราคงอยู่ (%)</t>
  </si>
  <si>
    <t>อัตราสำเร็จตามกำหนด (%)</t>
  </si>
  <si>
    <t>ค้างรุ่น</t>
  </si>
  <si>
    <t>ลาออก</t>
  </si>
  <si>
    <t>สำเร็จตามกำหนด</t>
  </si>
  <si>
    <t>ความพึงพอใจของอาจารย์ต่อการบริหารหลักสูตร</t>
  </si>
  <si>
    <t>ความพึงพอใจ</t>
  </si>
  <si>
    <t>ผู้ช่วยศาสตราจารย์ ดร.เฉลิมเกียรติ ดุลสัมพันธ์</t>
  </si>
  <si>
    <t>คณะวิทยาศาสตร์ มหาวิทยาลัยราชภัฏจันทรเกษม</t>
  </si>
  <si>
    <t>อัตราการคงอยู่ (%)</t>
  </si>
  <si>
    <t>อัตราการสำเร็จตามกำหนด (%)</t>
  </si>
  <si>
    <t>โทร: 081-7134828  E-Mail: cdulsamphan@yahoo.com</t>
  </si>
  <si>
    <t>แนวโน้มการคงอยู่ของนักศึกษามีแนวโน้มดีขึ้น</t>
  </si>
  <si>
    <t>แนวโน้มอัตราการสำเร็จการศึกษามีแนวโน้มดีขึ้น</t>
  </si>
  <si>
    <t>แนวโน้มความพึงพอใจของนักศึกอาจารย์ต่อหลักสูตรดีขึ้น</t>
  </si>
  <si>
    <t xml:space="preserve">สถาบันการศึกษาระดับอุดมศึกษา </t>
  </si>
  <si>
    <t>ระดับ</t>
  </si>
  <si>
    <t xml:space="preserve">  หมายเหตุ</t>
  </si>
  <si>
    <t>คะแนนผลการประเมิน</t>
  </si>
  <si>
    <t>สีชมพู หมายถึง คำแนะนำจากโปรแกรม</t>
  </si>
  <si>
    <t>ตัวตั้ง</t>
  </si>
  <si>
    <t>ผลลัพธ์</t>
  </si>
  <si>
    <t>สีเหลือง กรอกตัวเลขบันทึก</t>
  </si>
  <si>
    <t>ตัวหาร</t>
  </si>
  <si>
    <t>(% /สัดส่วน)</t>
  </si>
  <si>
    <t>(บรรลุ, ไม่บรรลุ)</t>
  </si>
  <si>
    <t>สีฟ้า       เลือกจากปุ่มเมนู</t>
  </si>
  <si>
    <t>คะแนนเฉลี่ยภาพรวมตัวบ่งชี้ของ สกอ. 13 ตัวบ่งชี้</t>
  </si>
  <si>
    <t>องค์ประกอบที่ 1 การกำกับมาตรฐาน</t>
  </si>
  <si>
    <t>การบริหารจัดการหลักสูตรตามเกณฑ์มาตรฐานหลักสูตรที่กำหนดโดย สกอ.</t>
  </si>
  <si>
    <t>องค์ประกอบที่ 2 บัณฑิต</t>
  </si>
  <si>
    <t xml:space="preserve">คุณภาพบัณฑิตตามกรอบมาตรฐานคุณวุฒิระดับอุดมศึกษาแห่งชาติ </t>
  </si>
  <si>
    <t>ร้อยละ</t>
  </si>
  <si>
    <t>องค์ประกอบที่ 3 นักศึกษา</t>
  </si>
  <si>
    <t xml:space="preserve"> การรับนักศึกษา</t>
  </si>
  <si>
    <t>การส่งเสริมและพัฒนานักศึกษา</t>
  </si>
  <si>
    <t>ผลที่เกิดกับนักศึกษา</t>
  </si>
  <si>
    <t>องค์ประกอบที่ 4 อาจารย์</t>
  </si>
  <si>
    <t>การบริหารและพัฒนาอาจารย์</t>
  </si>
  <si>
    <t>คุณภาพอาจารย์</t>
  </si>
  <si>
    <t>อาจารย์ประจำหลักสูตรที่มีคุณวุฒิปริญญาเอก</t>
  </si>
  <si>
    <t>อาจารย์ประจำหลักสูตรที่ดำรงค์ตำแหน่งทางวิชาการ</t>
  </si>
  <si>
    <t>ผลงานทางวิชาการของอาจารย์ประจำหลักสูตร</t>
  </si>
  <si>
    <t>จำนวนบทความของอาจารย์ประจำหลักสูตรปริญญาเอก</t>
  </si>
  <si>
    <t>ผลที่เกิดกับอาจารย์</t>
  </si>
  <si>
    <t>องค์ประกอบที่ 5 หลักสูตร การเรียน การสอน การประเมินผู้เรียน</t>
  </si>
  <si>
    <t>สาระของรายวิชาในหลักสูตร</t>
  </si>
  <si>
    <t>การวางระบบผู้สอนและกระบวนการจัดการเรียนการสอน</t>
  </si>
  <si>
    <t>การประเมินผู้เรียน</t>
  </si>
  <si>
    <t xml:space="preserve">ผลการดำเนินงานหลักสูตรตามกรอบมาตรฐานคุณวุฒิระดับอุดมศึกษาแห่งชาติ </t>
  </si>
  <si>
    <t>องค์ประกอบที่ 6 สิ่งสนับสนุนการเรียนรู้</t>
  </si>
  <si>
    <t>สิ่งสนับสนุนการเรียนรู้</t>
  </si>
  <si>
    <t>ผู้ช่วยศาสตราจารย์ ดร.เฉลิมเกียรติ ดุลสัมพันธ์ คณะวิทยาศาสตร์ มหาวิทยาลัยราชภัฏจันทรเกษม</t>
  </si>
  <si>
    <t>จำนวนบทความที่ได้รับการอ้างอิงต่ออาจารย์ประจำ</t>
  </si>
  <si>
    <t>เรื่อง</t>
  </si>
  <si>
    <t>Cdulsamphan@yahoo.com   Tel: 081-7134828,    090-9345749</t>
  </si>
  <si>
    <t>เกณฑ์การประเมิคโอกาสที่จะเกิดความเสี่ยง (Likelihood)</t>
  </si>
  <si>
    <t>โอกาสที่จะเกิดขึ้น (เฉลี่ย)</t>
  </si>
  <si>
    <t>การแปลค่าโอกาสที่จะเกิด</t>
  </si>
  <si>
    <t>ระดับคะแนน</t>
  </si>
  <si>
    <t xml:space="preserve">1 ครั้งในรอบ 1 เดือน </t>
  </si>
  <si>
    <t>สูงมาก</t>
  </si>
  <si>
    <t xml:space="preserve">1 ครั้ง ในรอบ 6 เดือน </t>
  </si>
  <si>
    <t>สูง</t>
  </si>
  <si>
    <t xml:space="preserve">1 ครั้งในรอบ 1 ปี </t>
  </si>
  <si>
    <t>ปานกลาง</t>
  </si>
  <si>
    <t xml:space="preserve">1 ครั้งในรอบ 3 ปี </t>
  </si>
  <si>
    <t>ต่ำ</t>
  </si>
  <si>
    <t xml:space="preserve">1 ครั้งในรอบ 5 ปี </t>
  </si>
  <si>
    <t>ต่ำมาก</t>
  </si>
  <si>
    <t>อ.1</t>
  </si>
  <si>
    <t>มีโอกาสในการเกิดเกือบทุกครั้ง</t>
  </si>
  <si>
    <t>มีโอกาสในการเกิดค่อนข้างสูงหรือบ่อย ๆ</t>
  </si>
  <si>
    <t>มีโอกาสเกิดบางครั้ง</t>
  </si>
  <si>
    <t>อาจมีโอกาสเกิดแต่นานๆ ครั้ง</t>
  </si>
  <si>
    <t>มีโอกาสเกิดน้อยมาก หรือไม่น่าเกิด</t>
  </si>
  <si>
    <t>อ.2</t>
  </si>
  <si>
    <t>อ.3</t>
  </si>
  <si>
    <t>มากกว่าร้อยละ 80</t>
  </si>
  <si>
    <t>ร้อยละ 50.1 – 80.0</t>
  </si>
  <si>
    <t>ร้อยละ 20.1 – 50.0</t>
  </si>
  <si>
    <t>ร้อยละ 5.1 – 20.0</t>
  </si>
  <si>
    <t>น้อยกว่า ร้อยละ 5.0</t>
  </si>
  <si>
    <t>เกณฑ์การประเมินผลกระทบจากความเสี่ยง (Impact)</t>
  </si>
  <si>
    <t>ผ.1</t>
  </si>
  <si>
    <t>ความเสียหาย</t>
  </si>
  <si>
    <t xml:space="preserve">สูงมาก </t>
  </si>
  <si>
    <t xml:space="preserve">สูง </t>
  </si>
  <si>
    <t xml:space="preserve">ปานกลาง </t>
  </si>
  <si>
    <t xml:space="preserve">ต่ำ </t>
  </si>
  <si>
    <t xml:space="preserve">&gt; 10,000 – 50,000 บาท </t>
  </si>
  <si>
    <t xml:space="preserve">ต่ำมาก </t>
  </si>
  <si>
    <t>ไม่เกิน 10,000 บาท</t>
  </si>
  <si>
    <t>&gt; 50,000 – 100,000 บาท</t>
  </si>
  <si>
    <t>&gt; 100,000 บาท – 200,000 บาท</t>
  </si>
  <si>
    <t>&gt; 200,000 บาท</t>
  </si>
  <si>
    <t xml:space="preserve">เป็นข่าวทางลบในหนังสือพิมพ์หน้า 1 มากกว่า 5 ฉบับ </t>
  </si>
  <si>
    <t xml:space="preserve">มีการเป็นข่าวทางลบในหนังสือพิมพ์น้อยกว่า 5 ฉบับ </t>
  </si>
  <si>
    <t xml:space="preserve">เป็นข่าวทางลบในหนังสือพิมพ์ที่ไม่อยู่ในหน้า 1 มากกว่า 5 ฉบับ </t>
  </si>
  <si>
    <t xml:space="preserve">เป็นข่าวทางลบในหนังสือพิมพ์ที่ไม่อยู่ในหน้า 1 น้อยกว่า 5 ฉบับ </t>
  </si>
  <si>
    <t>มีการเผยแพร่ข่าวทางลบเฉพาะภายในมหาวิทยาลัย</t>
  </si>
  <si>
    <t>ผ.2</t>
  </si>
  <si>
    <t>ผ.3</t>
  </si>
  <si>
    <t>ไม่อยู่ใน 30 ลำดับแรก ของ ม.ราชภัฏ</t>
  </si>
  <si>
    <t>ไม่อยู่ใน 20 ลำดับแรก ของ ม.ราชภัฏ</t>
  </si>
  <si>
    <t>ไม่อยู่ใน 15 ลำดับแรก ของ ม.ราชภัฏ</t>
  </si>
  <si>
    <t>ไม่อยู่ใน 10 ลำดับแรก ของ ม.ราชภัฏ</t>
  </si>
  <si>
    <t>ไม่อยู่ใน  5 ลำดับแรก ของ ม.ราชภัฏ</t>
  </si>
  <si>
    <t>ผล กระทบ</t>
  </si>
  <si>
    <t>ตัวอย่างหลักเกณฑ์การประเมิคความเสี่ยง</t>
  </si>
  <si>
    <t>ความพึงพอใจของนักศึกษาต่อการบริหารหลักสูตร</t>
  </si>
  <si>
    <t>คะแนนความพึงพอใจ</t>
  </si>
  <si>
    <t>1. การรับนักศึกษา</t>
  </si>
  <si>
    <t>2. การเตรียมความพร้อมก่อนเข้าศึกษา</t>
  </si>
  <si>
    <t>3. การควบคุมการดูแลการให้คำปรึกษาวิชาการและแนะแนวแก่นักศึกษาปริญญาตรี</t>
  </si>
  <si>
    <t>4. การพัฒนาศักยภาพนักศึกษาและการเสริมสร้างทักษะการเรียนรู้ในศตวรรษที่ 21</t>
  </si>
  <si>
    <t>5. การควบคุมการดูแลการให้คำปรึกษาวิทยานิพนธ์แก่บัณฑิตศึกษา</t>
  </si>
  <si>
    <t>คะแนนความพึงพอใจเฉลี่ย</t>
  </si>
  <si>
    <t>โทร: 081-713-4828,      E-Mail: cdulsamphan@yahoo.com</t>
  </si>
  <si>
    <t>1. ระบบการรับและแต่งตั้งอาจารย์ประจำหลักสูตร</t>
  </si>
  <si>
    <t>2. ระบบการบริหารอาจารย์</t>
  </si>
  <si>
    <t>3. ระบบการส่งเสริมและพัฒนาอาจารย์</t>
  </si>
  <si>
    <t>4. การส่งเสริมอาจารย์ให้มีคุณวุฒิปริญญาเอก</t>
  </si>
  <si>
    <t>5. การส่งเสริมอาจารย์ให้มีตำแหน่งทางวิชาการ</t>
  </si>
  <si>
    <t>6. การส่งเสริมอาจารย์ในการเผยแพร่ผลงานทางวิชาการ</t>
  </si>
  <si>
    <t>ลำดับที่</t>
  </si>
  <si>
    <t>ชื่อ - สกุลอาจารย์ประจำหลักสูตร</t>
  </si>
  <si>
    <t>อายุงาน ณ วันที่ &gt;&gt;&gt;&gt;</t>
  </si>
  <si>
    <t>วันเริ่มบรรจุเข้าทำงาน</t>
  </si>
  <si>
    <t>ปี</t>
  </si>
  <si>
    <t>เดือน</t>
  </si>
  <si>
    <t>วัน</t>
  </si>
  <si>
    <t>อายุงาน</t>
  </si>
  <si>
    <t>อายุการทำงาน</t>
  </si>
  <si>
    <t>โรงเรียนนายร้อยตำรวจ</t>
  </si>
  <si>
    <t>นิติวิทยา</t>
  </si>
  <si>
    <t>วิทยาศาสตร์</t>
  </si>
  <si>
    <t>ขาดเรียน</t>
  </si>
  <si>
    <t>ควบคุมความเสี่ยง</t>
  </si>
  <si>
    <t>เช็คชื่อ</t>
  </si>
  <si>
    <t>ศึกษาต่อ</t>
  </si>
  <si>
    <t>ไปบรรจุในสาขาที่ตรง</t>
  </si>
  <si>
    <t>นายร้รั้นี้น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</si>
</sst>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[$-107041E]d\ mmmm\ yyyy;@"/>
    <numFmt numFmtId="188" formatCode="0_ ;\-0\ "/>
    <numFmt numFmtId="189" formatCode="0.0"/>
    <numFmt numFmtId="190" formatCode="#,##0.00000"/>
  </numFmts>
  <fonts count="85">
    <font>
      <sz val="16"/>
      <color theme="1"/>
      <name val="Angsana New"/>
      <family val="2"/>
      <charset val="222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sz val="14"/>
      <color theme="1"/>
      <name val="Angsana New"/>
      <family val="2"/>
      <charset val="222"/>
    </font>
    <font>
      <b/>
      <sz val="16"/>
      <color theme="1"/>
      <name val="Wingdings"/>
      <charset val="2"/>
    </font>
    <font>
      <b/>
      <sz val="14"/>
      <color theme="1"/>
      <name val="Angsana New"/>
      <family val="1"/>
    </font>
    <font>
      <sz val="10"/>
      <name val="Arial"/>
      <family val="2"/>
    </font>
    <font>
      <sz val="16"/>
      <name val="Angsana New"/>
      <family val="1"/>
    </font>
    <font>
      <sz val="16"/>
      <color theme="1"/>
      <name val="Angsana New"/>
      <family val="1"/>
    </font>
    <font>
      <b/>
      <sz val="16"/>
      <color rgb="FFFF0000"/>
      <name val="Angsana New"/>
      <family val="1"/>
    </font>
    <font>
      <sz val="16"/>
      <color theme="0"/>
      <name val="Angsana New"/>
      <family val="2"/>
      <charset val="222"/>
    </font>
    <font>
      <sz val="16"/>
      <color theme="1"/>
      <name val="Angsana New"/>
      <family val="2"/>
      <charset val="222"/>
    </font>
    <font>
      <b/>
      <sz val="18"/>
      <name val="Angsana New"/>
      <family val="1"/>
    </font>
    <font>
      <b/>
      <sz val="16"/>
      <name val="Angsana New"/>
      <family val="1"/>
    </font>
    <font>
      <sz val="14"/>
      <name val="Angsana New"/>
      <family val="1"/>
    </font>
    <font>
      <sz val="14"/>
      <color indexed="20"/>
      <name val="Angsana New"/>
      <family val="1"/>
    </font>
    <font>
      <b/>
      <sz val="20"/>
      <color rgb="FF0033CC"/>
      <name val="Angsana New"/>
      <family val="1"/>
    </font>
    <font>
      <b/>
      <sz val="16"/>
      <color theme="1"/>
      <name val="Wingdings 2"/>
      <family val="1"/>
      <charset val="2"/>
    </font>
    <font>
      <sz val="14"/>
      <color theme="1"/>
      <name val="Angsana New"/>
      <family val="1"/>
    </font>
    <font>
      <sz val="16"/>
      <color theme="0"/>
      <name val="Angsana New"/>
      <family val="1"/>
    </font>
    <font>
      <b/>
      <sz val="12"/>
      <color rgb="FF000000"/>
      <name val="Angsana New"/>
      <family val="1"/>
    </font>
    <font>
      <sz val="18"/>
      <color theme="1"/>
      <name val="Angsana New"/>
      <family val="1"/>
    </font>
    <font>
      <b/>
      <sz val="16"/>
      <color rgb="FF000000"/>
      <name val="Angsana New"/>
      <family val="1"/>
    </font>
    <font>
      <b/>
      <sz val="14"/>
      <color rgb="FF000000"/>
      <name val="Angsana New"/>
      <family val="1"/>
    </font>
    <font>
      <b/>
      <sz val="14"/>
      <name val="Angsana New"/>
      <family val="1"/>
    </font>
    <font>
      <b/>
      <sz val="12"/>
      <color theme="1"/>
      <name val="Angsana New"/>
      <family val="1"/>
    </font>
    <font>
      <sz val="12"/>
      <color theme="1"/>
      <name val="Angsana New"/>
      <family val="1"/>
    </font>
    <font>
      <b/>
      <sz val="20"/>
      <color rgb="FF000000"/>
      <name val="Angsana New"/>
      <family val="1"/>
    </font>
    <font>
      <sz val="20"/>
      <color theme="1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rgb="FF000099"/>
      <name val="Angsana New"/>
      <family val="1"/>
    </font>
    <font>
      <sz val="16"/>
      <color theme="1"/>
      <name val="Tahoma"/>
      <family val="2"/>
      <charset val="222"/>
      <scheme val="minor"/>
    </font>
    <font>
      <b/>
      <sz val="18"/>
      <color theme="0"/>
      <name val="Angsana New"/>
      <family val="1"/>
    </font>
    <font>
      <b/>
      <sz val="18"/>
      <color rgb="FF000000"/>
      <name val="Angsana New"/>
      <family val="1"/>
    </font>
    <font>
      <sz val="16"/>
      <color rgb="FF000000"/>
      <name val="Angsana New"/>
      <family val="1"/>
    </font>
    <font>
      <sz val="11"/>
      <color theme="1"/>
      <name val="Angsana New"/>
      <family val="1"/>
    </font>
    <font>
      <b/>
      <sz val="11"/>
      <color rgb="FF000000"/>
      <name val="Angsana New"/>
      <family val="1"/>
    </font>
    <font>
      <b/>
      <sz val="16"/>
      <color rgb="FFFFFFFF"/>
      <name val="Angsana New"/>
      <family val="1"/>
    </font>
    <font>
      <b/>
      <sz val="18"/>
      <color rgb="FF0033CC"/>
      <name val="AngsanaUPC"/>
      <family val="1"/>
      <charset val="222"/>
    </font>
    <font>
      <sz val="16"/>
      <color theme="1"/>
      <name val="AngsanaUPC"/>
      <family val="1"/>
      <charset val="222"/>
    </font>
    <font>
      <b/>
      <sz val="18"/>
      <color rgb="FF003399"/>
      <name val="AngsanaUPC"/>
      <family val="1"/>
      <charset val="222"/>
    </font>
    <font>
      <b/>
      <sz val="16"/>
      <color rgb="FF003399"/>
      <name val="AngsanaUPC"/>
      <family val="1"/>
      <charset val="222"/>
    </font>
    <font>
      <sz val="18"/>
      <color theme="1"/>
      <name val="AngsanaUPC"/>
      <family val="1"/>
      <charset val="222"/>
    </font>
    <font>
      <b/>
      <sz val="20"/>
      <color rgb="FF003399"/>
      <name val="AngsanaUPC"/>
      <family val="1"/>
      <charset val="222"/>
    </font>
    <font>
      <b/>
      <sz val="24"/>
      <color theme="1"/>
      <name val="AngsanaUPC"/>
      <family val="1"/>
      <charset val="222"/>
    </font>
    <font>
      <b/>
      <sz val="11"/>
      <color theme="1"/>
      <name val="AngsanaUPC"/>
      <family val="1"/>
      <charset val="222"/>
    </font>
    <font>
      <b/>
      <sz val="20"/>
      <color theme="1"/>
      <name val="AngsanaUPC"/>
      <family val="1"/>
      <charset val="222"/>
    </font>
    <font>
      <b/>
      <sz val="16"/>
      <color theme="1"/>
      <name val="AngsanaUPC"/>
      <family val="1"/>
      <charset val="222"/>
    </font>
    <font>
      <b/>
      <sz val="18"/>
      <name val="AngsanaUPC"/>
      <family val="1"/>
      <charset val="222"/>
    </font>
    <font>
      <sz val="10"/>
      <name val="AngsanaUPC"/>
      <family val="1"/>
      <charset val="222"/>
    </font>
    <font>
      <sz val="16"/>
      <name val="AngsanaUPC"/>
      <family val="1"/>
      <charset val="222"/>
    </font>
    <font>
      <b/>
      <sz val="18"/>
      <color theme="1"/>
      <name val="AngsanaUPC"/>
      <family val="1"/>
      <charset val="222"/>
    </font>
    <font>
      <sz val="18"/>
      <color rgb="FF003399"/>
      <name val="Tahoma"/>
      <family val="2"/>
      <charset val="222"/>
      <scheme val="minor"/>
    </font>
    <font>
      <sz val="18"/>
      <color rgb="FF003399"/>
      <name val="AngsanaUPC"/>
      <family val="1"/>
      <charset val="222"/>
    </font>
    <font>
      <b/>
      <sz val="16"/>
      <color rgb="FF0033CC"/>
      <name val="AngsanaUPC"/>
      <family val="1"/>
      <charset val="222"/>
    </font>
    <font>
      <i/>
      <sz val="16"/>
      <color theme="1"/>
      <name val="AngsanaUPC"/>
      <family val="1"/>
      <charset val="222"/>
    </font>
    <font>
      <b/>
      <sz val="11"/>
      <color rgb="FF003399"/>
      <name val="Tahoma"/>
      <family val="2"/>
      <charset val="222"/>
      <scheme val="minor"/>
    </font>
    <font>
      <b/>
      <sz val="20"/>
      <color rgb="FF000099"/>
      <name val="AngsanaUPC"/>
      <family val="1"/>
      <charset val="222"/>
    </font>
    <font>
      <sz val="20"/>
      <color rgb="FF000099"/>
      <name val="Tahoma"/>
      <family val="2"/>
      <charset val="222"/>
      <scheme val="minor"/>
    </font>
    <font>
      <sz val="16"/>
      <color rgb="FF000099"/>
      <name val="Angsana New"/>
      <family val="2"/>
      <charset val="222"/>
    </font>
    <font>
      <sz val="16"/>
      <color rgb="FF000099"/>
      <name val="AngsanaUPC"/>
      <family val="1"/>
      <charset val="222"/>
    </font>
    <font>
      <b/>
      <sz val="18"/>
      <color rgb="FF000099"/>
      <name val="AngsanaUPC"/>
      <family val="1"/>
      <charset val="222"/>
    </font>
    <font>
      <b/>
      <sz val="16"/>
      <color theme="0"/>
      <name val="Angsana New"/>
      <family val="1"/>
    </font>
    <font>
      <b/>
      <sz val="16"/>
      <color theme="1"/>
      <name val="Angsana New"/>
      <family val="2"/>
      <charset val="222"/>
    </font>
    <font>
      <b/>
      <sz val="15"/>
      <name val="TH SarabunPSK"/>
      <family val="2"/>
    </font>
    <font>
      <b/>
      <sz val="18"/>
      <color rgb="FFFF0000"/>
      <name val="Angsana New"/>
      <family val="1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2"/>
      <color theme="1"/>
      <name val="Angsana New"/>
      <family val="2"/>
      <charset val="222"/>
    </font>
    <font>
      <b/>
      <sz val="14"/>
      <color theme="1"/>
      <name val="Angsana New"/>
      <family val="2"/>
      <charset val="222"/>
    </font>
    <font>
      <b/>
      <sz val="14"/>
      <color theme="1"/>
      <name val="TH SarabunPSK"/>
      <family val="2"/>
    </font>
    <font>
      <b/>
      <sz val="12"/>
      <name val="Angsana New"/>
      <family val="1"/>
    </font>
    <font>
      <b/>
      <sz val="11"/>
      <color theme="1"/>
      <name val="TH SarabunPSK"/>
      <family val="2"/>
    </font>
    <font>
      <b/>
      <sz val="11"/>
      <color theme="1"/>
      <name val="Angsana New"/>
      <family val="2"/>
      <charset val="222"/>
    </font>
    <font>
      <b/>
      <sz val="18"/>
      <color rgb="FF000099"/>
      <name val="TH SarabunPSK"/>
      <family val="2"/>
    </font>
    <font>
      <b/>
      <sz val="18"/>
      <color rgb="FF000099"/>
      <name val="Angsana New"/>
      <family val="2"/>
      <charset val="222"/>
    </font>
    <font>
      <b/>
      <sz val="16"/>
      <color rgb="FF000099"/>
      <name val="Angsana New"/>
      <family val="1"/>
    </font>
    <font>
      <sz val="9"/>
      <color indexed="81"/>
      <name val="Tahoma"/>
      <family val="2"/>
    </font>
    <font>
      <b/>
      <sz val="16"/>
      <color indexed="81"/>
      <name val="Angsana New"/>
      <family val="1"/>
    </font>
    <font>
      <sz val="16"/>
      <color indexed="81"/>
      <name val="Angsana New"/>
      <family val="1"/>
    </font>
    <font>
      <sz val="18"/>
      <color indexed="81"/>
      <name val="Angsana New"/>
      <family val="1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0033CC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43" fontId="11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</cellStyleXfs>
  <cellXfs count="789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9" fillId="0" borderId="0" xfId="0" applyFont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10" fillId="10" borderId="0" xfId="0" applyFont="1" applyFill="1" applyProtection="1">
      <protection hidden="1"/>
    </xf>
    <xf numFmtId="0" fontId="10" fillId="10" borderId="0" xfId="0" applyFont="1" applyFill="1"/>
    <xf numFmtId="49" fontId="0" fillId="0" borderId="0" xfId="0" applyNumberFormat="1" applyProtection="1">
      <protection hidden="1"/>
    </xf>
    <xf numFmtId="2" fontId="0" fillId="11" borderId="1" xfId="0" applyNumberFormat="1" applyFill="1" applyBorder="1" applyAlignment="1" applyProtection="1">
      <alignment horizontal="center" vertical="center"/>
      <protection hidden="1"/>
    </xf>
    <xf numFmtId="2" fontId="0" fillId="8" borderId="1" xfId="0" applyNumberFormat="1" applyFill="1" applyBorder="1" applyAlignment="1" applyProtection="1">
      <alignment horizontal="center" vertic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8" fillId="0" borderId="0" xfId="0" applyFont="1" applyProtection="1">
      <protection hidden="1"/>
    </xf>
    <xf numFmtId="0" fontId="13" fillId="0" borderId="0" xfId="1" applyFont="1" applyFill="1" applyBorder="1" applyAlignment="1" applyProtection="1">
      <alignment horizontal="center" vertical="top" wrapText="1"/>
      <protection hidden="1"/>
    </xf>
    <xf numFmtId="0" fontId="13" fillId="0" borderId="0" xfId="1" applyFont="1" applyFill="1" applyBorder="1" applyAlignment="1" applyProtection="1">
      <alignment horizontal="left" vertical="center"/>
      <protection hidden="1"/>
    </xf>
    <xf numFmtId="0" fontId="13" fillId="0" borderId="0" xfId="1" applyFont="1" applyAlignment="1" applyProtection="1">
      <alignment horizontal="left"/>
      <protection hidden="1"/>
    </xf>
    <xf numFmtId="0" fontId="14" fillId="0" borderId="0" xfId="1" applyFont="1" applyProtection="1">
      <protection hidden="1"/>
    </xf>
    <xf numFmtId="0" fontId="14" fillId="0" borderId="0" xfId="1" applyFont="1" applyAlignment="1" applyProtection="1">
      <alignment horizontal="center"/>
      <protection hidden="1"/>
    </xf>
    <xf numFmtId="0" fontId="15" fillId="0" borderId="0" xfId="1" applyFont="1" applyProtection="1">
      <protection hidden="1"/>
    </xf>
    <xf numFmtId="49" fontId="8" fillId="3" borderId="1" xfId="0" applyNumberFormat="1" applyFont="1" applyFill="1" applyBorder="1" applyAlignment="1" applyProtection="1">
      <alignment vertical="top" wrapText="1"/>
      <protection hidden="1"/>
    </xf>
    <xf numFmtId="0" fontId="8" fillId="3" borderId="1" xfId="0" applyFont="1" applyFill="1" applyBorder="1" applyAlignment="1" applyProtection="1">
      <alignment horizontal="center"/>
      <protection hidden="1"/>
    </xf>
    <xf numFmtId="0" fontId="13" fillId="0" borderId="0" xfId="1" applyFont="1" applyProtection="1">
      <protection hidden="1"/>
    </xf>
    <xf numFmtId="0" fontId="8" fillId="0" borderId="0" xfId="0" applyFont="1" applyAlignment="1" applyProtection="1">
      <protection hidden="1"/>
    </xf>
    <xf numFmtId="49" fontId="8" fillId="3" borderId="1" xfId="0" applyNumberFormat="1" applyFont="1" applyFill="1" applyBorder="1" applyAlignment="1" applyProtection="1">
      <alignment vertical="center" wrapText="1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49" fontId="8" fillId="3" borderId="1" xfId="0" applyNumberFormat="1" applyFont="1" applyFill="1" applyBorder="1" applyAlignment="1" applyProtection="1">
      <alignment vertical="top"/>
      <protection hidden="1"/>
    </xf>
    <xf numFmtId="0" fontId="8" fillId="8" borderId="1" xfId="0" applyFont="1" applyFill="1" applyBorder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8" borderId="1" xfId="0" applyFont="1" applyFill="1" applyBorder="1" applyAlignment="1" applyProtection="1">
      <alignment horizontal="center"/>
      <protection hidden="1"/>
    </xf>
    <xf numFmtId="2" fontId="2" fillId="8" borderId="1" xfId="0" applyNumberFormat="1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Protection="1">
      <protection hidden="1"/>
    </xf>
    <xf numFmtId="2" fontId="8" fillId="8" borderId="1" xfId="0" applyNumberFormat="1" applyFont="1" applyFill="1" applyBorder="1" applyAlignment="1" applyProtection="1">
      <alignment horizontal="center"/>
      <protection hidden="1"/>
    </xf>
    <xf numFmtId="49" fontId="2" fillId="3" borderId="1" xfId="0" applyNumberFormat="1" applyFont="1" applyFill="1" applyBorder="1" applyAlignment="1" applyProtection="1">
      <alignment vertical="top" wrapText="1"/>
      <protection hidden="1"/>
    </xf>
    <xf numFmtId="0" fontId="2" fillId="8" borderId="1" xfId="0" applyFont="1" applyFill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protection hidden="1"/>
    </xf>
    <xf numFmtId="0" fontId="8" fillId="0" borderId="0" xfId="0" applyFont="1" applyBorder="1" applyProtection="1">
      <protection hidden="1"/>
    </xf>
    <xf numFmtId="0" fontId="8" fillId="0" borderId="7" xfId="0" applyFont="1" applyBorder="1" applyProtection="1">
      <protection hidden="1"/>
    </xf>
    <xf numFmtId="0" fontId="8" fillId="0" borderId="9" xfId="0" applyFont="1" applyBorder="1" applyProtection="1">
      <protection hidden="1"/>
    </xf>
    <xf numFmtId="49" fontId="8" fillId="0" borderId="0" xfId="0" applyNumberFormat="1" applyFont="1" applyProtection="1"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8" fillId="3" borderId="2" xfId="0" applyFont="1" applyFill="1" applyBorder="1" applyAlignment="1" applyProtection="1">
      <alignment horizontal="center" vertical="center"/>
      <protection hidden="1"/>
    </xf>
    <xf numFmtId="0" fontId="18" fillId="7" borderId="1" xfId="0" applyFont="1" applyFill="1" applyBorder="1" applyAlignment="1" applyProtection="1">
      <alignment wrapText="1"/>
    </xf>
    <xf numFmtId="0" fontId="18" fillId="7" borderId="1" xfId="0" applyFont="1" applyFill="1" applyBorder="1" applyProtection="1"/>
    <xf numFmtId="0" fontId="18" fillId="0" borderId="2" xfId="0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wrapText="1"/>
      <protection hidden="1"/>
    </xf>
    <xf numFmtId="0" fontId="14" fillId="7" borderId="0" xfId="0" applyFont="1" applyFill="1" applyAlignment="1" applyProtection="1">
      <alignment horizontal="left" vertical="top" wrapText="1" readingOrder="1"/>
    </xf>
    <xf numFmtId="0" fontId="8" fillId="7" borderId="1" xfId="0" applyFont="1" applyFill="1" applyBorder="1" applyProtection="1"/>
    <xf numFmtId="0" fontId="8" fillId="7" borderId="1" xfId="0" applyFont="1" applyFill="1" applyBorder="1" applyAlignment="1" applyProtection="1">
      <alignment wrapText="1"/>
    </xf>
    <xf numFmtId="0" fontId="19" fillId="6" borderId="0" xfId="0" applyFont="1" applyFill="1" applyProtection="1">
      <protection hidden="1"/>
    </xf>
    <xf numFmtId="0" fontId="19" fillId="10" borderId="0" xfId="0" applyFont="1" applyFill="1" applyProtection="1">
      <protection hidden="1"/>
    </xf>
    <xf numFmtId="0" fontId="13" fillId="14" borderId="1" xfId="0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Fill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/>
      <protection hidden="1"/>
    </xf>
    <xf numFmtId="2" fontId="2" fillId="0" borderId="0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12" fillId="0" borderId="0" xfId="1" applyFont="1" applyFill="1" applyBorder="1" applyAlignment="1" applyProtection="1">
      <alignment horizontal="center" vertical="top" wrapText="1"/>
      <protection hidden="1"/>
    </xf>
    <xf numFmtId="0" fontId="2" fillId="6" borderId="0" xfId="0" applyFont="1" applyFill="1" applyAlignment="1" applyProtection="1">
      <alignment horizontal="left" shrinkToFit="1"/>
    </xf>
    <xf numFmtId="0" fontId="2" fillId="0" borderId="0" xfId="0" applyFont="1" applyAlignment="1" applyProtection="1">
      <protection hidden="1"/>
    </xf>
    <xf numFmtId="0" fontId="8" fillId="15" borderId="1" xfId="0" applyFont="1" applyFill="1" applyBorder="1" applyProtection="1"/>
    <xf numFmtId="0" fontId="2" fillId="12" borderId="0" xfId="0" applyFont="1" applyFill="1" applyAlignment="1" applyProtection="1">
      <alignment horizontal="center" shrinkToFit="1"/>
    </xf>
    <xf numFmtId="0" fontId="2" fillId="11" borderId="1" xfId="0" applyFont="1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2" fillId="8" borderId="0" xfId="0" applyFont="1" applyFill="1" applyAlignment="1" applyProtection="1">
      <alignment horizontal="center" vertical="center"/>
      <protection hidden="1"/>
    </xf>
    <xf numFmtId="0" fontId="8" fillId="8" borderId="1" xfId="0" applyFont="1" applyFill="1" applyBorder="1" applyAlignment="1" applyProtection="1">
      <alignment horizontal="center" vertical="center"/>
      <protection hidden="1"/>
    </xf>
    <xf numFmtId="2" fontId="8" fillId="8" borderId="1" xfId="0" applyNumberFormat="1" applyFont="1" applyFill="1" applyBorder="1" applyAlignment="1" applyProtection="1">
      <alignment horizontal="center" vertical="center"/>
      <protection hidden="1"/>
    </xf>
    <xf numFmtId="0" fontId="2" fillId="15" borderId="1" xfId="0" applyFont="1" applyFill="1" applyBorder="1" applyAlignment="1" applyProtection="1">
      <alignment horizontal="center"/>
    </xf>
    <xf numFmtId="0" fontId="2" fillId="15" borderId="1" xfId="0" applyFont="1" applyFill="1" applyBorder="1" applyAlignment="1" applyProtection="1">
      <alignment horizontal="center" vertical="center"/>
    </xf>
    <xf numFmtId="2" fontId="8" fillId="8" borderId="1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" xfId="0" applyFont="1" applyBorder="1" applyProtection="1">
      <protection hidden="1"/>
    </xf>
    <xf numFmtId="2" fontId="8" fillId="0" borderId="1" xfId="0" applyNumberFormat="1" applyFont="1" applyBorder="1" applyAlignment="1" applyProtection="1">
      <alignment horizontal="center" vertical="center" shrinkToFit="1"/>
      <protection hidden="1"/>
    </xf>
    <xf numFmtId="2" fontId="8" fillId="6" borderId="1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 applyProtection="1">
      <alignment shrinkToFit="1"/>
      <protection hidden="1"/>
    </xf>
    <xf numFmtId="2" fontId="8" fillId="6" borderId="0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Alignment="1" applyProtection="1">
      <alignment horizontal="right"/>
      <protection hidden="1"/>
    </xf>
    <xf numFmtId="0" fontId="8" fillId="6" borderId="0" xfId="0" applyFont="1" applyFill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18" fillId="0" borderId="1" xfId="0" applyFont="1" applyBorder="1" applyAlignment="1" applyProtection="1">
      <alignment horizontal="left" vertical="center" wrapText="1"/>
      <protection hidden="1"/>
    </xf>
    <xf numFmtId="0" fontId="2" fillId="11" borderId="1" xfId="0" applyFont="1" applyFill="1" applyBorder="1" applyAlignment="1" applyProtection="1">
      <alignment shrinkToFit="1"/>
      <protection hidden="1"/>
    </xf>
    <xf numFmtId="0" fontId="2" fillId="11" borderId="1" xfId="0" applyFont="1" applyFill="1" applyBorder="1" applyAlignment="1" applyProtection="1">
      <alignment horizontal="center" shrinkToFit="1"/>
      <protection hidden="1"/>
    </xf>
    <xf numFmtId="0" fontId="0" fillId="0" borderId="0" xfId="0" applyBorder="1" applyAlignment="1" applyProtection="1">
      <alignment shrinkToFit="1"/>
      <protection hidden="1"/>
    </xf>
    <xf numFmtId="0" fontId="0" fillId="6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8" fillId="15" borderId="1" xfId="0" applyFont="1" applyFill="1" applyBorder="1" applyAlignment="1" applyProtection="1">
      <alignment horizontal="center" vertical="center" shrinkToFit="1"/>
    </xf>
    <xf numFmtId="0" fontId="8" fillId="15" borderId="1" xfId="0" applyFont="1" applyFill="1" applyBorder="1" applyAlignment="1" applyProtection="1">
      <alignment horizontal="center"/>
    </xf>
    <xf numFmtId="1" fontId="2" fillId="16" borderId="0" xfId="0" applyNumberFormat="1" applyFont="1" applyFill="1" applyAlignment="1">
      <alignment horizontal="center"/>
    </xf>
    <xf numFmtId="187" fontId="24" fillId="7" borderId="1" xfId="0" applyNumberFormat="1" applyFont="1" applyFill="1" applyBorder="1" applyAlignment="1" applyProtection="1">
      <alignment horizontal="center" vertical="center" shrinkToFit="1"/>
    </xf>
    <xf numFmtId="0" fontId="14" fillId="7" borderId="1" xfId="0" applyFont="1" applyFill="1" applyBorder="1" applyAlignment="1" applyProtection="1">
      <alignment vertical="top" wrapText="1"/>
    </xf>
    <xf numFmtId="49" fontId="2" fillId="18" borderId="0" xfId="0" applyNumberFormat="1" applyFont="1" applyFill="1" applyAlignment="1" applyProtection="1">
      <alignment horizontal="center"/>
      <protection hidden="1"/>
    </xf>
    <xf numFmtId="0" fontId="2" fillId="18" borderId="0" xfId="0" applyFont="1" applyFill="1" applyAlignment="1" applyProtection="1">
      <alignment horizontal="center"/>
      <protection hidden="1"/>
    </xf>
    <xf numFmtId="2" fontId="2" fillId="18" borderId="0" xfId="0" applyNumberFormat="1" applyFont="1" applyFill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8" fillId="0" borderId="0" xfId="0" applyFont="1" applyAlignment="1" applyProtection="1"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0" fontId="24" fillId="7" borderId="1" xfId="0" applyFont="1" applyFill="1" applyBorder="1" applyAlignment="1" applyProtection="1">
      <alignment horizontal="center" vertical="top" wrapText="1"/>
    </xf>
    <xf numFmtId="0" fontId="0" fillId="11" borderId="1" xfId="0" applyFill="1" applyBorder="1" applyAlignment="1" applyProtection="1">
      <alignment horizontal="center" vertical="center"/>
      <protection hidden="1"/>
    </xf>
    <xf numFmtId="0" fontId="0" fillId="18" borderId="0" xfId="0" applyFill="1" applyAlignment="1" applyProtection="1">
      <alignment horizontal="center"/>
      <protection hidden="1"/>
    </xf>
    <xf numFmtId="49" fontId="0" fillId="12" borderId="1" xfId="0" applyNumberFormat="1" applyFill="1" applyBorder="1" applyAlignment="1" applyProtection="1">
      <alignment horizontal="center" vertical="center" shrinkToFit="1"/>
      <protection hidden="1"/>
    </xf>
    <xf numFmtId="0" fontId="2" fillId="8" borderId="0" xfId="0" applyFont="1" applyFill="1" applyAlignment="1" applyProtection="1">
      <alignment horizontal="center" vertical="center" shrinkToFit="1"/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protection hidden="1"/>
    </xf>
    <xf numFmtId="0" fontId="2" fillId="8" borderId="0" xfId="0" applyFont="1" applyFill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5" fillId="0" borderId="0" xfId="0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2" fillId="8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protection hidden="1"/>
    </xf>
    <xf numFmtId="0" fontId="8" fillId="9" borderId="1" xfId="0" applyFont="1" applyFill="1" applyBorder="1" applyAlignment="1" applyProtection="1">
      <alignment horizontal="center" vertical="center"/>
      <protection hidden="1"/>
    </xf>
    <xf numFmtId="0" fontId="18" fillId="7" borderId="1" xfId="0" applyFont="1" applyFill="1" applyBorder="1" applyAlignment="1" applyProtection="1">
      <alignment horizontal="left" vertical="top" wrapText="1"/>
    </xf>
    <xf numFmtId="0" fontId="8" fillId="7" borderId="1" xfId="0" applyFont="1" applyFill="1" applyBorder="1" applyAlignment="1" applyProtection="1">
      <alignment horizontal="left" vertical="top" wrapText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left" vertical="top" wrapText="1"/>
      <protection hidden="1"/>
    </xf>
    <xf numFmtId="0" fontId="18" fillId="7" borderId="1" xfId="0" applyFont="1" applyFill="1" applyBorder="1" applyAlignment="1" applyProtection="1">
      <alignment horizontal="left" vertical="top" wrapText="1"/>
      <protection hidden="1"/>
    </xf>
    <xf numFmtId="0" fontId="14" fillId="7" borderId="0" xfId="0" applyFont="1" applyFill="1" applyAlignment="1" applyProtection="1">
      <alignment horizontal="left" vertical="top" wrapText="1" readingOrder="1"/>
      <protection hidden="1"/>
    </xf>
    <xf numFmtId="0" fontId="8" fillId="7" borderId="1" xfId="0" applyFont="1" applyFill="1" applyBorder="1" applyAlignment="1" applyProtection="1">
      <alignment horizontal="left" vertical="top" wrapText="1"/>
      <protection hidden="1"/>
    </xf>
    <xf numFmtId="0" fontId="8" fillId="7" borderId="1" xfId="0" applyFont="1" applyFill="1" applyBorder="1" applyAlignment="1" applyProtection="1">
      <alignment horizontal="left" vertical="top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2" fillId="12" borderId="0" xfId="0" applyFont="1" applyFill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vertical="center" shrinkToFi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12" borderId="1" xfId="0" applyFont="1" applyFill="1" applyBorder="1" applyAlignment="1" applyProtection="1">
      <alignment horizontal="center" vertical="center"/>
      <protection hidden="1"/>
    </xf>
    <xf numFmtId="0" fontId="8" fillId="12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Protection="1"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8" fillId="7" borderId="1" xfId="0" applyFont="1" applyFill="1" applyBorder="1" applyAlignment="1" applyProtection="1">
      <alignment horizontal="left" vertical="top"/>
    </xf>
    <xf numFmtId="0" fontId="19" fillId="10" borderId="0" xfId="0" applyFont="1" applyFill="1" applyBorder="1" applyProtection="1">
      <protection hidden="1"/>
    </xf>
    <xf numFmtId="0" fontId="10" fillId="10" borderId="0" xfId="0" applyFont="1" applyFill="1" applyBorder="1"/>
    <xf numFmtId="0" fontId="10" fillId="10" borderId="0" xfId="0" applyFont="1" applyFill="1" applyBorder="1" applyProtection="1">
      <protection hidden="1"/>
    </xf>
    <xf numFmtId="0" fontId="1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5" fillId="4" borderId="0" xfId="0" applyFont="1" applyFill="1" applyBorder="1" applyAlignment="1" applyProtection="1">
      <alignment horizontal="left" vertical="center"/>
      <protection hidden="1"/>
    </xf>
    <xf numFmtId="0" fontId="5" fillId="5" borderId="0" xfId="0" applyFont="1" applyFill="1" applyBorder="1" applyAlignment="1" applyProtection="1">
      <alignment horizontal="left" vertical="center" shrinkToFit="1"/>
      <protection hidden="1"/>
    </xf>
    <xf numFmtId="0" fontId="18" fillId="6" borderId="0" xfId="0" applyFont="1" applyFill="1" applyBorder="1" applyAlignment="1" applyProtection="1">
      <alignment shrinkToFit="1"/>
      <protection hidden="1"/>
    </xf>
    <xf numFmtId="0" fontId="5" fillId="2" borderId="0" xfId="0" applyFont="1" applyFill="1" applyBorder="1" applyAlignment="1" applyProtection="1">
      <alignment horizontal="left" vertical="center" shrinkToFit="1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2" fillId="16" borderId="0" xfId="0" applyFont="1" applyFill="1" applyAlignment="1" applyProtection="1">
      <alignment horizontal="center"/>
      <protection hidden="1"/>
    </xf>
    <xf numFmtId="0" fontId="18" fillId="7" borderId="1" xfId="0" applyFont="1" applyFill="1" applyBorder="1" applyAlignment="1" applyProtection="1">
      <alignment horizontal="left" vertical="top"/>
    </xf>
    <xf numFmtId="49" fontId="1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4" fillId="3" borderId="1" xfId="0" applyFont="1" applyFill="1" applyBorder="1" applyAlignment="1" applyProtection="1">
      <alignment horizontal="center" vertical="center" wrapText="1"/>
      <protection hidden="1"/>
    </xf>
    <xf numFmtId="0" fontId="20" fillId="6" borderId="0" xfId="0" applyFont="1" applyFill="1" applyBorder="1" applyAlignment="1" applyProtection="1">
      <alignment horizontal="center" vertical="center" wrapText="1"/>
      <protection hidden="1"/>
    </xf>
    <xf numFmtId="0" fontId="18" fillId="3" borderId="1" xfId="0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wrapText="1"/>
      <protection hidden="1"/>
    </xf>
    <xf numFmtId="0" fontId="8" fillId="0" borderId="0" xfId="0" applyFont="1" applyAlignment="1" applyProtection="1">
      <alignment horizontal="center"/>
      <protection hidden="1"/>
    </xf>
    <xf numFmtId="0" fontId="2" fillId="6" borderId="5" xfId="0" applyFont="1" applyFill="1" applyBorder="1" applyProtection="1">
      <protection hidden="1"/>
    </xf>
    <xf numFmtId="0" fontId="8" fillId="6" borderId="5" xfId="0" applyFont="1" applyFill="1" applyBorder="1" applyProtection="1">
      <protection hidden="1"/>
    </xf>
    <xf numFmtId="0" fontId="8" fillId="6" borderId="5" xfId="0" applyFont="1" applyFill="1" applyBorder="1" applyAlignment="1" applyProtection="1">
      <alignment horizontal="left"/>
      <protection hidden="1"/>
    </xf>
    <xf numFmtId="0" fontId="8" fillId="3" borderId="1" xfId="0" applyFont="1" applyFill="1" applyBorder="1" applyAlignment="1" applyProtection="1">
      <alignment horizontal="center" shrinkToFit="1"/>
      <protection hidden="1"/>
    </xf>
    <xf numFmtId="0" fontId="8" fillId="12" borderId="1" xfId="0" applyFont="1" applyFill="1" applyBorder="1" applyAlignment="1" applyProtection="1">
      <alignment horizontal="center" shrinkToFit="1"/>
      <protection hidden="1"/>
    </xf>
    <xf numFmtId="0" fontId="2" fillId="0" borderId="0" xfId="0" applyFont="1" applyFill="1" applyBorder="1" applyAlignment="1" applyProtection="1">
      <protection hidden="1"/>
    </xf>
    <xf numFmtId="0" fontId="8" fillId="0" borderId="0" xfId="0" applyFont="1" applyFill="1" applyBorder="1" applyAlignment="1" applyProtection="1">
      <protection hidden="1"/>
    </xf>
    <xf numFmtId="0" fontId="5" fillId="3" borderId="1" xfId="0" applyFont="1" applyFill="1" applyBorder="1" applyAlignment="1" applyProtection="1">
      <alignment horizontal="center" vertical="center" wrapText="1" shrinkToFit="1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left" shrinkToFit="1"/>
      <protection hidden="1"/>
    </xf>
    <xf numFmtId="0" fontId="18" fillId="0" borderId="0" xfId="0" applyFont="1" applyFill="1" applyBorder="1" applyAlignment="1" applyProtection="1">
      <alignment horizontal="justify" vertical="center"/>
      <protection hidden="1"/>
    </xf>
    <xf numFmtId="43" fontId="18" fillId="0" borderId="0" xfId="2" applyFont="1" applyBorder="1" applyAlignment="1" applyProtection="1">
      <alignment shrinkToFit="1"/>
      <protection hidden="1"/>
    </xf>
    <xf numFmtId="0" fontId="18" fillId="0" borderId="0" xfId="0" applyFont="1" applyBorder="1" applyAlignment="1" applyProtection="1">
      <alignment horizontal="left" shrinkToFit="1"/>
      <protection hidden="1"/>
    </xf>
    <xf numFmtId="43" fontId="18" fillId="0" borderId="0" xfId="2" applyFont="1" applyBorder="1" applyAlignment="1" applyProtection="1">
      <protection hidden="1"/>
    </xf>
    <xf numFmtId="188" fontId="5" fillId="3" borderId="1" xfId="2" applyNumberFormat="1" applyFont="1" applyFill="1" applyBorder="1" applyAlignment="1" applyProtection="1">
      <alignment horizontal="center" vertical="center" shrinkToFit="1"/>
      <protection hidden="1"/>
    </xf>
    <xf numFmtId="188" fontId="5" fillId="3" borderId="1" xfId="0" applyNumberFormat="1" applyFont="1" applyFill="1" applyBorder="1" applyAlignment="1" applyProtection="1">
      <alignment horizontal="center" vertical="center" shrinkToFit="1"/>
      <protection hidden="1"/>
    </xf>
    <xf numFmtId="3" fontId="18" fillId="12" borderId="1" xfId="2" applyNumberFormat="1" applyFont="1" applyFill="1" applyBorder="1" applyAlignment="1" applyProtection="1">
      <alignment horizontal="center" vertical="center" shrinkToFit="1"/>
      <protection hidden="1"/>
    </xf>
    <xf numFmtId="0" fontId="18" fillId="8" borderId="1" xfId="0" applyFont="1" applyFill="1" applyBorder="1" applyAlignment="1" applyProtection="1">
      <alignment horizontal="center" vertical="center" wrapText="1"/>
      <protection hidden="1"/>
    </xf>
    <xf numFmtId="0" fontId="8" fillId="6" borderId="0" xfId="0" applyFont="1" applyFill="1" applyBorder="1" applyAlignment="1" applyProtection="1">
      <alignment horizontal="center" vertical="center"/>
      <protection hidden="1"/>
    </xf>
    <xf numFmtId="0" fontId="18" fillId="6" borderId="0" xfId="0" applyFont="1" applyFill="1" applyBorder="1" applyAlignment="1" applyProtection="1">
      <alignment horizontal="center" vertical="center" wrapText="1"/>
      <protection hidden="1"/>
    </xf>
    <xf numFmtId="49" fontId="5" fillId="0" borderId="0" xfId="0" applyNumberFormat="1" applyFont="1" applyFill="1" applyBorder="1" applyAlignment="1" applyProtection="1">
      <alignment vertical="center"/>
      <protection hidden="1"/>
    </xf>
    <xf numFmtId="0" fontId="18" fillId="6" borderId="0" xfId="0" applyFont="1" applyFill="1" applyBorder="1" applyAlignment="1" applyProtection="1">
      <alignment horizontal="left" vertical="center" shrinkToFit="1"/>
      <protection hidden="1"/>
    </xf>
    <xf numFmtId="0" fontId="22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center" vertical="center" shrinkToFit="1"/>
      <protection hidden="1"/>
    </xf>
    <xf numFmtId="0" fontId="8" fillId="12" borderId="1" xfId="0" applyFont="1" applyFill="1" applyBorder="1" applyAlignment="1" applyProtection="1">
      <alignment horizontal="center" vertical="center" shrinkToFit="1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shrinkToFit="1"/>
      <protection hidden="1"/>
    </xf>
    <xf numFmtId="0" fontId="8" fillId="12" borderId="1" xfId="0" applyFont="1" applyFill="1" applyBorder="1" applyProtection="1">
      <protection hidden="1"/>
    </xf>
    <xf numFmtId="0" fontId="20" fillId="13" borderId="1" xfId="0" applyFont="1" applyFill="1" applyBorder="1" applyAlignment="1" applyProtection="1">
      <alignment horizontal="center" vertical="center" wrapText="1"/>
      <protection hidden="1"/>
    </xf>
    <xf numFmtId="0" fontId="18" fillId="7" borderId="1" xfId="0" applyFont="1" applyFill="1" applyBorder="1" applyAlignment="1" applyProtection="1">
      <alignment wrapText="1"/>
    </xf>
    <xf numFmtId="0" fontId="8" fillId="7" borderId="1" xfId="0" applyFont="1" applyFill="1" applyBorder="1" applyAlignment="1" applyProtection="1">
      <alignment horizontal="center" vertical="center" shrinkToFit="1"/>
    </xf>
    <xf numFmtId="0" fontId="8" fillId="7" borderId="1" xfId="0" applyFont="1" applyFill="1" applyBorder="1" applyAlignment="1" applyProtection="1"/>
    <xf numFmtId="0" fontId="8" fillId="7" borderId="1" xfId="0" applyFont="1" applyFill="1" applyBorder="1" applyAlignment="1" applyProtection="1">
      <alignment horizontal="left" vertical="top" wrapText="1"/>
    </xf>
    <xf numFmtId="0" fontId="8" fillId="7" borderId="1" xfId="0" applyFont="1" applyFill="1" applyBorder="1" applyAlignment="1" applyProtection="1">
      <alignment horizontal="left" vertical="top"/>
    </xf>
    <xf numFmtId="0" fontId="18" fillId="7" borderId="1" xfId="0" applyFont="1" applyFill="1" applyBorder="1" applyAlignment="1" applyProtection="1">
      <alignment horizontal="left" vertical="top" wrapText="1"/>
    </xf>
    <xf numFmtId="0" fontId="18" fillId="7" borderId="1" xfId="0" applyFont="1" applyFill="1" applyBorder="1" applyAlignment="1" applyProtection="1">
      <alignment horizontal="left" vertical="top" wrapText="1"/>
    </xf>
    <xf numFmtId="0" fontId="2" fillId="8" borderId="0" xfId="0" applyFont="1" applyFill="1" applyAlignment="1" applyProtection="1">
      <alignment horizontal="center"/>
      <protection hidden="1"/>
    </xf>
    <xf numFmtId="0" fontId="2" fillId="16" borderId="0" xfId="0" applyFont="1" applyFill="1" applyAlignment="1" applyProtection="1">
      <alignment horizontal="center" vertical="center"/>
      <protection hidden="1"/>
    </xf>
    <xf numFmtId="0" fontId="8" fillId="9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wrapText="1"/>
      <protection hidden="1"/>
    </xf>
    <xf numFmtId="0" fontId="2" fillId="16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49" fontId="8" fillId="0" borderId="0" xfId="0" applyNumberFormat="1" applyFont="1" applyAlignment="1" applyProtection="1">
      <protection hidden="1"/>
    </xf>
    <xf numFmtId="0" fontId="18" fillId="0" borderId="1" xfId="0" applyFont="1" applyBorder="1" applyAlignment="1" applyProtection="1">
      <alignment horizontal="left" vertical="top" wrapText="1"/>
      <protection hidden="1"/>
    </xf>
    <xf numFmtId="0" fontId="8" fillId="9" borderId="1" xfId="0" applyFont="1" applyFill="1" applyBorder="1" applyAlignment="1" applyProtection="1">
      <alignment horizontal="center" vertical="center" wrapText="1"/>
    </xf>
    <xf numFmtId="0" fontId="18" fillId="7" borderId="1" xfId="0" applyFont="1" applyFill="1" applyBorder="1" applyAlignment="1" applyProtection="1">
      <alignment horizontal="left" wrapText="1"/>
    </xf>
    <xf numFmtId="0" fontId="8" fillId="7" borderId="1" xfId="0" applyFont="1" applyFill="1" applyBorder="1" applyAlignment="1" applyProtection="1">
      <alignment horizontal="left" wrapText="1"/>
    </xf>
    <xf numFmtId="0" fontId="18" fillId="7" borderId="1" xfId="0" applyFont="1" applyFill="1" applyBorder="1" applyAlignment="1" applyProtection="1">
      <alignment horizontal="left"/>
    </xf>
    <xf numFmtId="0" fontId="8" fillId="7" borderId="1" xfId="0" applyFont="1" applyFill="1" applyBorder="1" applyAlignment="1" applyProtection="1">
      <alignment horizontal="left"/>
    </xf>
    <xf numFmtId="0" fontId="10" fillId="6" borderId="0" xfId="0" applyFont="1" applyFill="1" applyProtection="1"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 wrapText="1"/>
      <protection hidden="1"/>
    </xf>
    <xf numFmtId="0" fontId="23" fillId="0" borderId="0" xfId="0" applyFont="1" applyBorder="1" applyAlignment="1" applyProtection="1">
      <alignment vertical="top" wrapText="1"/>
      <protection hidden="1"/>
    </xf>
    <xf numFmtId="0" fontId="2" fillId="6" borderId="0" xfId="0" applyFont="1" applyFill="1" applyAlignment="1" applyProtection="1">
      <alignment wrapText="1"/>
      <protection hidden="1"/>
    </xf>
    <xf numFmtId="0" fontId="2" fillId="8" borderId="0" xfId="0" applyFont="1" applyFill="1" applyAlignment="1" applyProtection="1">
      <alignment horizontal="center" vertical="center" wrapText="1"/>
      <protection hidden="1"/>
    </xf>
    <xf numFmtId="0" fontId="2" fillId="6" borderId="0" xfId="0" applyFont="1" applyFill="1" applyAlignment="1" applyProtection="1">
      <alignment horizontal="left"/>
      <protection hidden="1"/>
    </xf>
    <xf numFmtId="0" fontId="2" fillId="6" borderId="0" xfId="0" applyFont="1" applyFill="1" applyAlignment="1" applyProtection="1">
      <protection hidden="1"/>
    </xf>
    <xf numFmtId="2" fontId="2" fillId="8" borderId="0" xfId="0" applyNumberFormat="1" applyFont="1" applyFill="1" applyAlignment="1" applyProtection="1">
      <alignment horizontal="center" vertical="center"/>
      <protection hidden="1"/>
    </xf>
    <xf numFmtId="0" fontId="2" fillId="6" borderId="0" xfId="0" applyFont="1" applyFill="1" applyAlignment="1" applyProtection="1">
      <alignment horizontal="center"/>
      <protection hidden="1"/>
    </xf>
    <xf numFmtId="0" fontId="1" fillId="0" borderId="0" xfId="3" applyFont="1" applyProtection="1">
      <protection hidden="1"/>
    </xf>
    <xf numFmtId="0" fontId="8" fillId="0" borderId="0" xfId="3" applyFont="1" applyProtection="1">
      <protection hidden="1"/>
    </xf>
    <xf numFmtId="0" fontId="1" fillId="0" borderId="0" xfId="3" applyFont="1" applyAlignment="1" applyProtection="1">
      <alignment horizontal="left" vertical="center"/>
      <protection hidden="1"/>
    </xf>
    <xf numFmtId="0" fontId="30" fillId="0" borderId="0" xfId="3" applyFont="1" applyProtection="1">
      <protection hidden="1"/>
    </xf>
    <xf numFmtId="0" fontId="31" fillId="0" borderId="0" xfId="3" applyFont="1" applyProtection="1">
      <protection hidden="1"/>
    </xf>
    <xf numFmtId="0" fontId="32" fillId="6" borderId="0" xfId="3" applyFont="1" applyFill="1" applyAlignment="1"/>
    <xf numFmtId="0" fontId="1" fillId="8" borderId="1" xfId="3" applyFont="1" applyFill="1" applyBorder="1" applyAlignment="1" applyProtection="1">
      <alignment horizontal="center" shrinkToFit="1"/>
      <protection hidden="1"/>
    </xf>
    <xf numFmtId="0" fontId="2" fillId="8" borderId="1" xfId="3" applyFont="1" applyFill="1" applyBorder="1" applyAlignment="1" applyProtection="1">
      <alignment horizontal="center" shrinkToFit="1"/>
      <protection hidden="1"/>
    </xf>
    <xf numFmtId="0" fontId="2" fillId="3" borderId="1" xfId="3" applyFont="1" applyFill="1" applyBorder="1" applyAlignment="1" applyProtection="1">
      <alignment horizontal="center" shrinkToFit="1"/>
      <protection hidden="1"/>
    </xf>
    <xf numFmtId="0" fontId="2" fillId="3" borderId="7" xfId="3" applyFont="1" applyFill="1" applyBorder="1" applyAlignment="1" applyProtection="1">
      <alignment horizontal="center" shrinkToFit="1"/>
      <protection hidden="1"/>
    </xf>
    <xf numFmtId="3" fontId="1" fillId="8" borderId="1" xfId="4" applyNumberFormat="1" applyFont="1" applyFill="1" applyBorder="1" applyAlignment="1" applyProtection="1">
      <alignment shrinkToFit="1"/>
      <protection hidden="1"/>
    </xf>
    <xf numFmtId="2" fontId="1" fillId="8" borderId="1" xfId="3" applyNumberFormat="1" applyFont="1" applyFill="1" applyBorder="1" applyAlignment="1" applyProtection="1">
      <alignment horizontal="center" shrinkToFit="1"/>
      <protection hidden="1"/>
    </xf>
    <xf numFmtId="2" fontId="1" fillId="8" borderId="1" xfId="3" applyNumberFormat="1" applyFont="1" applyFill="1" applyBorder="1" applyAlignment="1" applyProtection="1">
      <alignment horizontal="center" vertical="center" shrinkToFit="1"/>
      <protection hidden="1"/>
    </xf>
    <xf numFmtId="3" fontId="1" fillId="11" borderId="1" xfId="4" applyNumberFormat="1" applyFont="1" applyFill="1" applyBorder="1" applyAlignment="1" applyProtection="1">
      <alignment shrinkToFit="1"/>
      <protection hidden="1"/>
    </xf>
    <xf numFmtId="2" fontId="1" fillId="11" borderId="1" xfId="3" applyNumberFormat="1" applyFont="1" applyFill="1" applyBorder="1" applyAlignment="1" applyProtection="1">
      <alignment horizontal="center" shrinkToFit="1"/>
      <protection hidden="1"/>
    </xf>
    <xf numFmtId="2" fontId="1" fillId="11" borderId="1" xfId="3" applyNumberFormat="1" applyFont="1" applyFill="1" applyBorder="1" applyAlignment="1" applyProtection="1">
      <alignment shrinkToFit="1"/>
      <protection hidden="1"/>
    </xf>
    <xf numFmtId="3" fontId="1" fillId="6" borderId="1" xfId="4" applyNumberFormat="1" applyFont="1" applyFill="1" applyBorder="1" applyAlignment="1" applyProtection="1">
      <alignment shrinkToFit="1"/>
      <protection hidden="1"/>
    </xf>
    <xf numFmtId="0" fontId="2" fillId="16" borderId="1" xfId="3" applyFont="1" applyFill="1" applyBorder="1" applyAlignment="1" applyProtection="1">
      <alignment shrinkToFit="1"/>
      <protection hidden="1"/>
    </xf>
    <xf numFmtId="0" fontId="2" fillId="16" borderId="1" xfId="3" applyFont="1" applyFill="1" applyBorder="1" applyAlignment="1" applyProtection="1">
      <alignment horizontal="center"/>
      <protection hidden="1"/>
    </xf>
    <xf numFmtId="2" fontId="2" fillId="2" borderId="1" xfId="3" applyNumberFormat="1" applyFont="1" applyFill="1" applyBorder="1" applyAlignment="1" applyProtection="1">
      <alignment horizontal="center" shrinkToFit="1"/>
    </xf>
    <xf numFmtId="0" fontId="34" fillId="0" borderId="0" xfId="3" applyFont="1" applyBorder="1" applyProtection="1">
      <protection hidden="1"/>
    </xf>
    <xf numFmtId="0" fontId="35" fillId="0" borderId="0" xfId="3" applyFont="1" applyBorder="1" applyProtection="1">
      <protection hidden="1"/>
    </xf>
    <xf numFmtId="0" fontId="35" fillId="0" borderId="0" xfId="3" applyFont="1" applyBorder="1" applyAlignment="1" applyProtection="1">
      <alignment horizontal="left"/>
      <protection hidden="1"/>
    </xf>
    <xf numFmtId="0" fontId="22" fillId="20" borderId="1" xfId="3" applyFont="1" applyFill="1" applyBorder="1" applyAlignment="1" applyProtection="1">
      <alignment horizontal="center"/>
      <protection hidden="1"/>
    </xf>
    <xf numFmtId="0" fontId="22" fillId="19" borderId="1" xfId="3" applyFont="1" applyFill="1" applyBorder="1" applyAlignment="1" applyProtection="1">
      <alignment horizontal="center"/>
      <protection hidden="1"/>
    </xf>
    <xf numFmtId="0" fontId="22" fillId="19" borderId="1" xfId="3" applyFont="1" applyFill="1" applyBorder="1" applyAlignment="1" applyProtection="1">
      <alignment horizontal="center" shrinkToFit="1"/>
      <protection hidden="1"/>
    </xf>
    <xf numFmtId="3" fontId="22" fillId="21" borderId="1" xfId="4" applyNumberFormat="1" applyFont="1" applyFill="1" applyBorder="1" applyAlignment="1" applyProtection="1">
      <alignment shrinkToFit="1"/>
    </xf>
    <xf numFmtId="3" fontId="22" fillId="20" borderId="1" xfId="4" applyNumberFormat="1" applyFont="1" applyFill="1" applyBorder="1" applyAlignment="1" applyProtection="1">
      <alignment shrinkToFit="1"/>
      <protection hidden="1"/>
    </xf>
    <xf numFmtId="2" fontId="22" fillId="20" borderId="1" xfId="3" applyNumberFormat="1" applyFont="1" applyFill="1" applyBorder="1" applyAlignment="1" applyProtection="1">
      <alignment horizontal="center"/>
      <protection hidden="1"/>
    </xf>
    <xf numFmtId="2" fontId="22" fillId="20" borderId="1" xfId="3" applyNumberFormat="1" applyFont="1" applyFill="1" applyBorder="1" applyAlignment="1" applyProtection="1">
      <alignment horizontal="center" vertical="center"/>
      <protection hidden="1"/>
    </xf>
    <xf numFmtId="3" fontId="22" fillId="22" borderId="1" xfId="4" applyNumberFormat="1" applyFont="1" applyFill="1" applyBorder="1" applyAlignment="1" applyProtection="1">
      <alignment shrinkToFit="1"/>
      <protection hidden="1"/>
    </xf>
    <xf numFmtId="2" fontId="22" fillId="22" borderId="1" xfId="3" applyNumberFormat="1" applyFont="1" applyFill="1" applyBorder="1" applyAlignment="1" applyProtection="1">
      <alignment horizontal="center"/>
      <protection hidden="1"/>
    </xf>
    <xf numFmtId="2" fontId="22" fillId="22" borderId="1" xfId="3" applyNumberFormat="1" applyFont="1" applyFill="1" applyBorder="1" applyProtection="1">
      <protection hidden="1"/>
    </xf>
    <xf numFmtId="0" fontId="2" fillId="0" borderId="0" xfId="3" applyFont="1" applyProtection="1">
      <protection hidden="1"/>
    </xf>
    <xf numFmtId="0" fontId="38" fillId="23" borderId="0" xfId="3" applyFont="1" applyFill="1" applyBorder="1" applyProtection="1">
      <protection hidden="1"/>
    </xf>
    <xf numFmtId="0" fontId="22" fillId="23" borderId="0" xfId="3" applyFont="1" applyFill="1" applyBorder="1" applyProtection="1">
      <protection hidden="1"/>
    </xf>
    <xf numFmtId="0" fontId="22" fillId="0" borderId="0" xfId="3" applyFont="1" applyBorder="1" applyProtection="1">
      <protection hidden="1"/>
    </xf>
    <xf numFmtId="0" fontId="33" fillId="10" borderId="0" xfId="3" applyFont="1" applyFill="1" applyProtection="1">
      <protection hidden="1"/>
    </xf>
    <xf numFmtId="0" fontId="1" fillId="10" borderId="0" xfId="3" applyFont="1" applyFill="1" applyProtection="1">
      <protection hidden="1"/>
    </xf>
    <xf numFmtId="0" fontId="21" fillId="10" borderId="0" xfId="3" applyFont="1" applyFill="1" applyProtection="1">
      <protection hidden="1"/>
    </xf>
    <xf numFmtId="0" fontId="1" fillId="0" borderId="0" xfId="3" applyFont="1" applyBorder="1" applyProtection="1">
      <protection hidden="1"/>
    </xf>
    <xf numFmtId="0" fontId="40" fillId="0" borderId="0" xfId="3" applyFont="1"/>
    <xf numFmtId="0" fontId="29" fillId="0" borderId="0" xfId="3" applyBorder="1" applyAlignment="1"/>
    <xf numFmtId="0" fontId="40" fillId="0" borderId="0" xfId="3" applyFont="1" applyAlignment="1">
      <alignment wrapText="1"/>
    </xf>
    <xf numFmtId="0" fontId="43" fillId="0" borderId="0" xfId="3" applyFont="1"/>
    <xf numFmtId="0" fontId="40" fillId="3" borderId="5" xfId="3" applyFont="1" applyFill="1" applyBorder="1"/>
    <xf numFmtId="0" fontId="50" fillId="3" borderId="11" xfId="3" applyFont="1" applyFill="1" applyBorder="1" applyAlignment="1" applyProtection="1">
      <alignment vertical="center" wrapText="1"/>
      <protection hidden="1"/>
    </xf>
    <xf numFmtId="0" fontId="48" fillId="24" borderId="1" xfId="3" applyFont="1" applyFill="1" applyBorder="1" applyAlignment="1" applyProtection="1">
      <alignment horizontal="center"/>
      <protection hidden="1"/>
    </xf>
    <xf numFmtId="0" fontId="48" fillId="24" borderId="2" xfId="3" applyFont="1" applyFill="1" applyBorder="1" applyAlignment="1" applyProtection="1">
      <alignment horizontal="center"/>
      <protection hidden="1"/>
    </xf>
    <xf numFmtId="0" fontId="48" fillId="24" borderId="4" xfId="3" applyFont="1" applyFill="1" applyBorder="1" applyAlignment="1" applyProtection="1">
      <alignment horizontal="center"/>
      <protection hidden="1"/>
    </xf>
    <xf numFmtId="0" fontId="48" fillId="24" borderId="4" xfId="3" applyFont="1" applyFill="1" applyBorder="1" applyAlignment="1" applyProtection="1">
      <alignment horizontal="center" shrinkToFit="1"/>
      <protection hidden="1"/>
    </xf>
    <xf numFmtId="0" fontId="51" fillId="3" borderId="5" xfId="3" applyFont="1" applyFill="1" applyBorder="1" applyAlignment="1" applyProtection="1">
      <alignment horizontal="left" vertical="center"/>
      <protection hidden="1"/>
    </xf>
    <xf numFmtId="0" fontId="41" fillId="25" borderId="1" xfId="3" applyFont="1" applyFill="1" applyBorder="1"/>
    <xf numFmtId="0" fontId="43" fillId="25" borderId="1" xfId="3" applyFont="1" applyFill="1" applyBorder="1" applyAlignment="1" applyProtection="1">
      <alignment vertical="center"/>
      <protection hidden="1"/>
    </xf>
    <xf numFmtId="0" fontId="52" fillId="25" borderId="1" xfId="3" applyFont="1" applyFill="1" applyBorder="1" applyAlignment="1" applyProtection="1">
      <alignment horizontal="center" vertical="center"/>
      <protection hidden="1"/>
    </xf>
    <xf numFmtId="2" fontId="41" fillId="25" borderId="1" xfId="3" applyNumberFormat="1" applyFont="1" applyFill="1" applyBorder="1" applyAlignment="1" applyProtection="1">
      <alignment horizontal="center" vertical="center"/>
      <protection hidden="1"/>
    </xf>
    <xf numFmtId="0" fontId="41" fillId="25" borderId="1" xfId="3" applyFont="1" applyFill="1" applyBorder="1" applyAlignment="1" applyProtection="1">
      <alignment horizontal="center"/>
      <protection hidden="1"/>
    </xf>
    <xf numFmtId="0" fontId="51" fillId="3" borderId="14" xfId="3" applyFont="1" applyFill="1" applyBorder="1" applyAlignment="1" applyProtection="1">
      <alignment horizontal="left" vertical="center"/>
      <protection hidden="1"/>
    </xf>
    <xf numFmtId="0" fontId="32" fillId="3" borderId="10" xfId="3" applyFont="1" applyFill="1" applyBorder="1" applyAlignment="1">
      <alignment vertical="center"/>
    </xf>
    <xf numFmtId="0" fontId="50" fillId="3" borderId="15" xfId="3" applyFont="1" applyFill="1" applyBorder="1" applyAlignment="1" applyProtection="1">
      <alignment vertical="center" wrapText="1"/>
      <protection hidden="1"/>
    </xf>
    <xf numFmtId="0" fontId="41" fillId="3" borderId="7" xfId="3" applyFont="1" applyFill="1" applyBorder="1" applyAlignment="1" applyProtection="1">
      <alignment vertical="center"/>
      <protection hidden="1"/>
    </xf>
    <xf numFmtId="0" fontId="41" fillId="3" borderId="9" xfId="3" applyFont="1" applyFill="1" applyBorder="1" applyAlignment="1" applyProtection="1">
      <alignment horizontal="center" vertical="center"/>
      <protection hidden="1"/>
    </xf>
    <xf numFmtId="0" fontId="41" fillId="3" borderId="1" xfId="3" applyFont="1" applyFill="1" applyBorder="1" applyAlignment="1" applyProtection="1">
      <alignment horizontal="center" vertical="center"/>
      <protection hidden="1"/>
    </xf>
    <xf numFmtId="1" fontId="41" fillId="3" borderId="1" xfId="3" applyNumberFormat="1" applyFont="1" applyFill="1" applyBorder="1" applyAlignment="1" applyProtection="1">
      <alignment horizontal="center" vertical="center"/>
      <protection hidden="1"/>
    </xf>
    <xf numFmtId="0" fontId="42" fillId="3" borderId="1" xfId="3" applyFont="1" applyFill="1" applyBorder="1" applyAlignment="1" applyProtection="1">
      <alignment horizontal="center" vertical="center" wrapText="1" shrinkToFit="1"/>
      <protection hidden="1"/>
    </xf>
    <xf numFmtId="0" fontId="41" fillId="3" borderId="1" xfId="3" applyFont="1" applyFill="1" applyBorder="1" applyAlignment="1" applyProtection="1">
      <alignment horizontal="center" wrapText="1"/>
      <protection hidden="1"/>
    </xf>
    <xf numFmtId="0" fontId="40" fillId="0" borderId="7" xfId="3" applyFont="1" applyBorder="1" applyAlignment="1" applyProtection="1">
      <alignment horizontal="center" vertical="top"/>
      <protection hidden="1"/>
    </xf>
    <xf numFmtId="0" fontId="40" fillId="0" borderId="8" xfId="3" applyFont="1" applyBorder="1" applyAlignment="1" applyProtection="1">
      <alignment wrapText="1"/>
      <protection hidden="1"/>
    </xf>
    <xf numFmtId="0" fontId="48" fillId="0" borderId="1" xfId="3" applyFont="1" applyBorder="1" applyAlignment="1" applyProtection="1">
      <alignment horizontal="center" vertical="center"/>
      <protection hidden="1"/>
    </xf>
    <xf numFmtId="1" fontId="48" fillId="15" borderId="1" xfId="3" applyNumberFormat="1" applyFont="1" applyFill="1" applyBorder="1" applyAlignment="1" applyProtection="1">
      <alignment horizontal="center" vertical="center"/>
    </xf>
    <xf numFmtId="0" fontId="48" fillId="8" borderId="1" xfId="3" applyFont="1" applyFill="1" applyBorder="1" applyAlignment="1" applyProtection="1">
      <alignment horizontal="center" vertical="center" wrapText="1" shrinkToFit="1"/>
      <protection hidden="1"/>
    </xf>
    <xf numFmtId="0" fontId="48" fillId="8" borderId="1" xfId="3" applyFont="1" applyFill="1" applyBorder="1" applyAlignment="1" applyProtection="1">
      <alignment horizontal="center" vertical="center" wrapText="1"/>
      <protection hidden="1"/>
    </xf>
    <xf numFmtId="0" fontId="41" fillId="3" borderId="7" xfId="3" applyFont="1" applyFill="1" applyBorder="1" applyAlignment="1" applyProtection="1">
      <protection hidden="1"/>
    </xf>
    <xf numFmtId="0" fontId="41" fillId="3" borderId="9" xfId="3" applyFont="1" applyFill="1" applyBorder="1" applyAlignment="1" applyProtection="1">
      <protection hidden="1"/>
    </xf>
    <xf numFmtId="0" fontId="41" fillId="3" borderId="1" xfId="3" applyFont="1" applyFill="1" applyBorder="1" applyAlignment="1" applyProtection="1">
      <protection hidden="1"/>
    </xf>
    <xf numFmtId="2" fontId="41" fillId="3" borderId="1" xfId="3" applyNumberFormat="1" applyFont="1" applyFill="1" applyBorder="1" applyAlignment="1" applyProtection="1">
      <alignment horizontal="center"/>
      <protection hidden="1"/>
    </xf>
    <xf numFmtId="0" fontId="41" fillId="3" borderId="8" xfId="3" applyFont="1" applyFill="1" applyBorder="1" applyAlignment="1" applyProtection="1">
      <protection hidden="1"/>
    </xf>
    <xf numFmtId="2" fontId="41" fillId="3" borderId="1" xfId="3" applyNumberFormat="1" applyFont="1" applyFill="1" applyBorder="1" applyAlignment="1" applyProtection="1">
      <alignment horizontal="center" vertical="center"/>
      <protection hidden="1"/>
    </xf>
    <xf numFmtId="0" fontId="40" fillId="0" borderId="7" xfId="3" applyFont="1" applyBorder="1" applyAlignment="1">
      <alignment horizontal="center" vertical="top"/>
    </xf>
    <xf numFmtId="2" fontId="48" fillId="15" borderId="1" xfId="3" applyNumberFormat="1" applyFont="1" applyFill="1" applyBorder="1" applyAlignment="1">
      <alignment horizontal="center" vertical="center"/>
    </xf>
    <xf numFmtId="2" fontId="48" fillId="8" borderId="1" xfId="3" applyNumberFormat="1" applyFont="1" applyFill="1" applyBorder="1" applyAlignment="1" applyProtection="1">
      <alignment horizontal="center" vertical="center"/>
      <protection hidden="1"/>
    </xf>
    <xf numFmtId="0" fontId="48" fillId="8" borderId="1" xfId="3" applyFont="1" applyFill="1" applyBorder="1" applyAlignment="1" applyProtection="1">
      <alignment horizontal="center" vertical="center"/>
      <protection hidden="1"/>
    </xf>
    <xf numFmtId="2" fontId="48" fillId="15" borderId="1" xfId="3" applyNumberFormat="1" applyFont="1" applyFill="1" applyBorder="1" applyAlignment="1">
      <alignment horizontal="center" vertical="center" shrinkToFit="1"/>
    </xf>
    <xf numFmtId="0" fontId="40" fillId="0" borderId="7" xfId="3" applyFont="1" applyBorder="1" applyAlignment="1" applyProtection="1">
      <alignment horizontal="center"/>
      <protection hidden="1"/>
    </xf>
    <xf numFmtId="0" fontId="40" fillId="0" borderId="9" xfId="3" applyFont="1" applyBorder="1" applyAlignment="1" applyProtection="1">
      <protection hidden="1"/>
    </xf>
    <xf numFmtId="1" fontId="48" fillId="9" borderId="1" xfId="3" applyNumberFormat="1" applyFont="1" applyFill="1" applyBorder="1" applyAlignment="1">
      <alignment horizontal="center" vertical="center"/>
    </xf>
    <xf numFmtId="0" fontId="54" fillId="0" borderId="0" xfId="3" applyFont="1"/>
    <xf numFmtId="1" fontId="55" fillId="9" borderId="1" xfId="3" applyNumberFormat="1" applyFont="1" applyFill="1" applyBorder="1" applyAlignment="1">
      <alignment horizontal="center" vertical="center"/>
    </xf>
    <xf numFmtId="0" fontId="40" fillId="0" borderId="6" xfId="3" applyFont="1" applyBorder="1" applyAlignment="1" applyProtection="1">
      <alignment horizontal="center"/>
      <protection hidden="1"/>
    </xf>
    <xf numFmtId="0" fontId="40" fillId="0" borderId="13" xfId="3" applyFont="1" applyBorder="1" applyAlignment="1" applyProtection="1">
      <alignment wrapText="1"/>
      <protection hidden="1"/>
    </xf>
    <xf numFmtId="0" fontId="48" fillId="0" borderId="2" xfId="3" applyFont="1" applyBorder="1" applyAlignment="1" applyProtection="1">
      <alignment horizontal="center" vertical="center"/>
      <protection hidden="1"/>
    </xf>
    <xf numFmtId="2" fontId="48" fillId="8" borderId="2" xfId="3" applyNumberFormat="1" applyFont="1" applyFill="1" applyBorder="1" applyAlignment="1" applyProtection="1">
      <alignment horizontal="center" vertical="center"/>
      <protection hidden="1"/>
    </xf>
    <xf numFmtId="0" fontId="48" fillId="8" borderId="2" xfId="3" applyFont="1" applyFill="1" applyBorder="1" applyAlignment="1" applyProtection="1">
      <alignment horizontal="center" vertical="center"/>
      <protection hidden="1"/>
    </xf>
    <xf numFmtId="0" fontId="40" fillId="0" borderId="10" xfId="3" applyFont="1" applyBorder="1" applyAlignment="1" applyProtection="1">
      <alignment vertical="top"/>
      <protection hidden="1"/>
    </xf>
    <xf numFmtId="0" fontId="56" fillId="0" borderId="15" xfId="3" applyFont="1" applyBorder="1" applyAlignment="1" applyProtection="1">
      <alignment vertical="top" shrinkToFit="1"/>
      <protection hidden="1"/>
    </xf>
    <xf numFmtId="0" fontId="48" fillId="0" borderId="4" xfId="3" applyFont="1" applyBorder="1" applyAlignment="1" applyProtection="1">
      <alignment horizontal="center" vertical="center"/>
      <protection hidden="1"/>
    </xf>
    <xf numFmtId="2" fontId="48" fillId="15" borderId="4" xfId="3" applyNumberFormat="1" applyFont="1" applyFill="1" applyBorder="1" applyAlignment="1">
      <alignment horizontal="center" vertical="center"/>
    </xf>
    <xf numFmtId="2" fontId="48" fillId="8" borderId="15" xfId="3" applyNumberFormat="1" applyFont="1" applyFill="1" applyBorder="1" applyAlignment="1" applyProtection="1">
      <alignment horizontal="center" vertical="center"/>
      <protection hidden="1"/>
    </xf>
    <xf numFmtId="2" fontId="48" fillId="8" borderId="4" xfId="3" applyNumberFormat="1" applyFont="1" applyFill="1" applyBorder="1" applyAlignment="1" applyProtection="1">
      <alignment horizontal="center" vertical="center"/>
      <protection hidden="1"/>
    </xf>
    <xf numFmtId="0" fontId="48" fillId="8" borderId="4" xfId="3" applyFont="1" applyFill="1" applyBorder="1" applyAlignment="1" applyProtection="1">
      <alignment horizontal="center" vertical="center"/>
      <protection hidden="1"/>
    </xf>
    <xf numFmtId="0" fontId="40" fillId="0" borderId="9" xfId="3" applyFont="1" applyBorder="1" applyAlignment="1" applyProtection="1">
      <alignment vertical="top"/>
      <protection hidden="1"/>
    </xf>
    <xf numFmtId="0" fontId="56" fillId="0" borderId="9" xfId="3" applyFont="1" applyBorder="1" applyProtection="1">
      <protection hidden="1"/>
    </xf>
    <xf numFmtId="0" fontId="56" fillId="0" borderId="0" xfId="3" applyFont="1" applyAlignment="1" applyProtection="1">
      <alignment shrinkToFit="1"/>
      <protection hidden="1"/>
    </xf>
    <xf numFmtId="0" fontId="48" fillId="0" borderId="4" xfId="3" applyFont="1" applyBorder="1" applyAlignment="1" applyProtection="1">
      <alignment horizontal="center" vertical="center" shrinkToFit="1"/>
      <protection hidden="1"/>
    </xf>
    <xf numFmtId="0" fontId="48" fillId="0" borderId="1" xfId="3" applyFont="1" applyBorder="1" applyAlignment="1" applyProtection="1">
      <alignment horizontal="center"/>
      <protection hidden="1"/>
    </xf>
    <xf numFmtId="0" fontId="41" fillId="0" borderId="0" xfId="3" applyFont="1"/>
    <xf numFmtId="0" fontId="40" fillId="0" borderId="8" xfId="3" applyFont="1" applyBorder="1" applyAlignment="1" applyProtection="1">
      <alignment shrinkToFit="1"/>
      <protection hidden="1"/>
    </xf>
    <xf numFmtId="0" fontId="41" fillId="3" borderId="1" xfId="3" applyFont="1" applyFill="1" applyBorder="1" applyAlignment="1" applyProtection="1">
      <alignment horizontal="center"/>
      <protection hidden="1"/>
    </xf>
    <xf numFmtId="0" fontId="40" fillId="0" borderId="0" xfId="3" applyFont="1" applyProtection="1">
      <protection hidden="1"/>
    </xf>
    <xf numFmtId="0" fontId="29" fillId="0" borderId="0" xfId="3" applyAlignment="1">
      <alignment shrinkToFit="1"/>
    </xf>
    <xf numFmtId="0" fontId="61" fillId="0" borderId="0" xfId="3" applyFont="1" applyProtection="1">
      <protection hidden="1"/>
    </xf>
    <xf numFmtId="0" fontId="62" fillId="0" borderId="0" xfId="3" applyFont="1" applyAlignment="1" applyProtection="1">
      <alignment horizontal="center"/>
      <protection hidden="1"/>
    </xf>
    <xf numFmtId="0" fontId="62" fillId="0" borderId="0" xfId="3" applyFont="1" applyAlignment="1" applyProtection="1">
      <alignment horizontal="right"/>
      <protection hidden="1"/>
    </xf>
    <xf numFmtId="0" fontId="62" fillId="0" borderId="0" xfId="3" applyFont="1" applyBorder="1" applyAlignment="1" applyProtection="1">
      <alignment horizontal="center"/>
      <protection hidden="1"/>
    </xf>
    <xf numFmtId="0" fontId="62" fillId="6" borderId="0" xfId="3" applyFont="1" applyFill="1"/>
    <xf numFmtId="1" fontId="55" fillId="8" borderId="1" xfId="3" applyNumberFormat="1" applyFont="1" applyFill="1" applyBorder="1" applyAlignment="1">
      <alignment horizontal="center" vertical="center"/>
    </xf>
    <xf numFmtId="189" fontId="48" fillId="8" borderId="1" xfId="3" applyNumberFormat="1" applyFont="1" applyFill="1" applyBorder="1" applyAlignment="1">
      <alignment horizontal="center" vertical="center"/>
    </xf>
    <xf numFmtId="2" fontId="48" fillId="8" borderId="1" xfId="3" applyNumberFormat="1" applyFont="1" applyFill="1" applyBorder="1" applyAlignment="1">
      <alignment horizontal="center" vertical="center"/>
    </xf>
    <xf numFmtId="1" fontId="48" fillId="8" borderId="1" xfId="3" applyNumberFormat="1" applyFont="1" applyFill="1" applyBorder="1" applyAlignment="1">
      <alignment horizontal="center" vertical="center"/>
    </xf>
    <xf numFmtId="2" fontId="48" fillId="15" borderId="2" xfId="3" applyNumberFormat="1" applyFont="1" applyFill="1" applyBorder="1" applyAlignment="1" applyProtection="1">
      <alignment horizontal="center" vertical="center"/>
      <protection hidden="1"/>
    </xf>
    <xf numFmtId="2" fontId="39" fillId="15" borderId="1" xfId="3" applyNumberFormat="1" applyFont="1" applyFill="1" applyBorder="1" applyAlignment="1" applyProtection="1">
      <alignment horizontal="center" vertical="center"/>
      <protection hidden="1"/>
    </xf>
    <xf numFmtId="2" fontId="41" fillId="15" borderId="1" xfId="3" applyNumberFormat="1" applyFont="1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Protection="1">
      <protection hidden="1"/>
    </xf>
    <xf numFmtId="0" fontId="66" fillId="2" borderId="0" xfId="0" applyFont="1" applyFill="1" applyAlignment="1" applyProtection="1">
      <alignment horizontal="center" vertical="center"/>
      <protection hidden="1"/>
    </xf>
    <xf numFmtId="0" fontId="18" fillId="12" borderId="1" xfId="0" applyFont="1" applyFill="1" applyBorder="1" applyAlignment="1" applyProtection="1">
      <alignment horizontal="center" vertical="center" wrapText="1"/>
      <protection hidden="1"/>
    </xf>
    <xf numFmtId="0" fontId="65" fillId="26" borderId="16" xfId="0" applyFont="1" applyFill="1" applyBorder="1" applyAlignment="1" applyProtection="1">
      <alignment horizontal="center" vertical="center" wrapText="1"/>
      <protection hidden="1"/>
    </xf>
    <xf numFmtId="0" fontId="65" fillId="26" borderId="17" xfId="0" applyFont="1" applyFill="1" applyBorder="1" applyAlignment="1" applyProtection="1">
      <alignment horizontal="center" vertical="center" wrapText="1"/>
      <protection hidden="1"/>
    </xf>
    <xf numFmtId="0" fontId="67" fillId="26" borderId="16" xfId="0" applyFont="1" applyFill="1" applyBorder="1" applyAlignment="1" applyProtection="1">
      <alignment horizontal="center" vertical="center" wrapText="1"/>
      <protection hidden="1"/>
    </xf>
    <xf numFmtId="0" fontId="68" fillId="26" borderId="16" xfId="0" applyFont="1" applyFill="1" applyBorder="1" applyAlignment="1" applyProtection="1">
      <alignment horizontal="center" vertical="center" wrapText="1"/>
      <protection hidden="1"/>
    </xf>
    <xf numFmtId="0" fontId="69" fillId="26" borderId="16" xfId="0" applyFont="1" applyFill="1" applyBorder="1" applyAlignment="1" applyProtection="1">
      <alignment horizontal="center" vertical="center" wrapText="1"/>
      <protection hidden="1"/>
    </xf>
    <xf numFmtId="0" fontId="71" fillId="26" borderId="16" xfId="0" applyFont="1" applyFill="1" applyBorder="1" applyAlignment="1" applyProtection="1">
      <alignment horizontal="center" vertical="center" wrapText="1"/>
      <protection hidden="1"/>
    </xf>
    <xf numFmtId="0" fontId="71" fillId="26" borderId="17" xfId="0" applyFont="1" applyFill="1" applyBorder="1" applyAlignment="1" applyProtection="1">
      <alignment horizontal="center" vertical="center" wrapText="1"/>
      <protection hidden="1"/>
    </xf>
    <xf numFmtId="0" fontId="8" fillId="6" borderId="0" xfId="0" applyFont="1" applyFill="1" applyBorder="1" applyProtection="1">
      <protection hidden="1"/>
    </xf>
    <xf numFmtId="0" fontId="20" fillId="6" borderId="10" xfId="0" applyFont="1" applyFill="1" applyBorder="1" applyAlignment="1" applyProtection="1">
      <alignment horizontal="center" vertical="center" wrapText="1"/>
      <protection hidden="1"/>
    </xf>
    <xf numFmtId="0" fontId="65" fillId="0" borderId="16" xfId="0" applyFont="1" applyBorder="1" applyAlignment="1" applyProtection="1">
      <alignment horizontal="center" vertical="center" wrapText="1"/>
      <protection hidden="1"/>
    </xf>
    <xf numFmtId="0" fontId="65" fillId="0" borderId="18" xfId="0" applyFont="1" applyBorder="1" applyAlignment="1" applyProtection="1">
      <alignment horizontal="center" vertical="center" wrapText="1"/>
      <protection hidden="1"/>
    </xf>
    <xf numFmtId="0" fontId="65" fillId="0" borderId="19" xfId="0" applyFont="1" applyBorder="1" applyAlignment="1" applyProtection="1">
      <alignment vertical="center" wrapText="1"/>
      <protection hidden="1"/>
    </xf>
    <xf numFmtId="0" fontId="65" fillId="0" borderId="19" xfId="0" applyFont="1" applyBorder="1" applyAlignment="1" applyProtection="1">
      <alignment horizontal="center" vertical="center" wrapText="1"/>
      <protection hidden="1"/>
    </xf>
    <xf numFmtId="0" fontId="65" fillId="0" borderId="18" xfId="0" applyFont="1" applyBorder="1" applyAlignment="1" applyProtection="1">
      <alignment vertical="center" wrapText="1"/>
      <protection hidden="1"/>
    </xf>
    <xf numFmtId="0" fontId="70" fillId="26" borderId="17" xfId="0" applyFont="1" applyFill="1" applyBorder="1" applyAlignment="1" applyProtection="1">
      <alignment horizontal="center" vertical="center" wrapText="1"/>
      <protection hidden="1"/>
    </xf>
    <xf numFmtId="0" fontId="70" fillId="24" borderId="16" xfId="0" applyFont="1" applyFill="1" applyBorder="1" applyAlignment="1" applyProtection="1">
      <alignment horizontal="center" vertical="center" wrapText="1"/>
      <protection hidden="1"/>
    </xf>
    <xf numFmtId="0" fontId="65" fillId="24" borderId="16" xfId="0" applyFont="1" applyFill="1" applyBorder="1" applyAlignment="1" applyProtection="1">
      <alignment horizontal="center" vertical="center" wrapText="1"/>
      <protection hidden="1"/>
    </xf>
    <xf numFmtId="0" fontId="68" fillId="24" borderId="16" xfId="0" applyFont="1" applyFill="1" applyBorder="1" applyAlignment="1" applyProtection="1">
      <alignment horizontal="center" vertical="center" wrapText="1"/>
      <protection hidden="1"/>
    </xf>
    <xf numFmtId="0" fontId="67" fillId="24" borderId="16" xfId="0" applyFont="1" applyFill="1" applyBorder="1" applyAlignment="1" applyProtection="1">
      <alignment horizontal="center" vertical="center" wrapText="1"/>
      <protection hidden="1"/>
    </xf>
    <xf numFmtId="0" fontId="69" fillId="24" borderId="16" xfId="0" applyFont="1" applyFill="1" applyBorder="1" applyAlignment="1" applyProtection="1">
      <alignment horizontal="center" vertical="center" wrapText="1"/>
      <protection hidden="1"/>
    </xf>
    <xf numFmtId="3" fontId="18" fillId="7" borderId="1" xfId="2" applyNumberFormat="1" applyFont="1" applyFill="1" applyBorder="1" applyAlignment="1" applyProtection="1">
      <alignment shrinkToFit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vertical="top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left" vertical="top" wrapText="1"/>
      <protection hidden="1"/>
    </xf>
    <xf numFmtId="0" fontId="2" fillId="3" borderId="1" xfId="3" applyFont="1" applyFill="1" applyBorder="1" applyAlignment="1" applyProtection="1">
      <alignment horizontal="center"/>
      <protection hidden="1"/>
    </xf>
    <xf numFmtId="2" fontId="2" fillId="7" borderId="1" xfId="3" applyNumberFormat="1" applyFont="1" applyFill="1" applyBorder="1" applyAlignment="1" applyProtection="1">
      <alignment horizontal="center" vertical="center" shrinkToFit="1"/>
    </xf>
    <xf numFmtId="2" fontId="2" fillId="8" borderId="1" xfId="3" applyNumberFormat="1" applyFont="1" applyFill="1" applyBorder="1" applyAlignment="1" applyProtection="1">
      <alignment horizontal="center" vertical="center" shrinkToFit="1"/>
      <protection hidden="1"/>
    </xf>
    <xf numFmtId="0" fontId="30" fillId="10" borderId="0" xfId="3" applyFont="1" applyFill="1" applyProtection="1">
      <protection hidden="1"/>
    </xf>
    <xf numFmtId="3" fontId="1" fillId="7" borderId="1" xfId="4" applyNumberFormat="1" applyFont="1" applyFill="1" applyBorder="1" applyAlignment="1" applyProtection="1">
      <alignment shrinkToFit="1"/>
    </xf>
    <xf numFmtId="2" fontId="2" fillId="15" borderId="1" xfId="3" applyNumberFormat="1" applyFont="1" applyFill="1" applyBorder="1" applyAlignment="1" applyProtection="1">
      <alignment horizontal="center" vertical="center" shrinkToFit="1"/>
    </xf>
    <xf numFmtId="2" fontId="2" fillId="15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Protection="1">
      <protection hidden="1"/>
    </xf>
    <xf numFmtId="0" fontId="0" fillId="0" borderId="0" xfId="0" applyAlignment="1"/>
    <xf numFmtId="0" fontId="8" fillId="3" borderId="0" xfId="0" applyFont="1" applyFill="1" applyProtection="1"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8" fillId="11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wrapText="1"/>
      <protection hidden="1"/>
    </xf>
    <xf numFmtId="0" fontId="0" fillId="0" borderId="1" xfId="0" applyBorder="1" applyAlignment="1" applyProtection="1">
      <alignment wrapText="1"/>
      <protection hidden="1"/>
    </xf>
    <xf numFmtId="0" fontId="2" fillId="9" borderId="1" xfId="0" applyFont="1" applyFill="1" applyBorder="1" applyAlignment="1" applyProtection="1">
      <alignment horizontal="center"/>
    </xf>
    <xf numFmtId="0" fontId="8" fillId="9" borderId="1" xfId="0" applyFont="1" applyFill="1" applyBorder="1" applyAlignment="1" applyProtection="1">
      <alignment horizontal="center"/>
    </xf>
    <xf numFmtId="0" fontId="0" fillId="8" borderId="0" xfId="0" applyFill="1" applyAlignment="1" applyProtection="1">
      <alignment horizontal="center" shrinkToFit="1"/>
      <protection hidden="1"/>
    </xf>
    <xf numFmtId="0" fontId="2" fillId="12" borderId="0" xfId="0" applyFont="1" applyFill="1" applyAlignment="1" applyProtection="1">
      <alignment horizontal="left" shrinkToFit="1"/>
    </xf>
    <xf numFmtId="0" fontId="2" fillId="3" borderId="1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 applyProtection="1">
      <alignment horizontal="center"/>
      <protection hidden="1"/>
    </xf>
    <xf numFmtId="0" fontId="2" fillId="3" borderId="7" xfId="0" applyFont="1" applyFill="1" applyBorder="1" applyAlignment="1" applyProtection="1">
      <alignment horizontal="center"/>
      <protection hidden="1"/>
    </xf>
    <xf numFmtId="0" fontId="8" fillId="3" borderId="8" xfId="0" applyFont="1" applyFill="1" applyBorder="1" applyAlignment="1" applyProtection="1">
      <alignment horizontal="center"/>
      <protection hidden="1"/>
    </xf>
    <xf numFmtId="0" fontId="2" fillId="9" borderId="7" xfId="0" applyFont="1" applyFill="1" applyBorder="1" applyAlignment="1" applyProtection="1">
      <alignment horizontal="center" vertical="center"/>
    </xf>
    <xf numFmtId="0" fontId="8" fillId="9" borderId="8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2" fillId="6" borderId="0" xfId="0" applyFont="1" applyFill="1" applyAlignment="1" applyProtection="1">
      <alignment horizontal="right"/>
      <protection hidden="1"/>
    </xf>
    <xf numFmtId="0" fontId="0" fillId="7" borderId="0" xfId="0" applyFill="1" applyAlignment="1" applyProtection="1">
      <alignment horizontal="left" shrinkToFit="1"/>
    </xf>
    <xf numFmtId="0" fontId="0" fillId="7" borderId="0" xfId="0" applyFont="1" applyFill="1" applyAlignment="1" applyProtection="1">
      <alignment horizontal="left" shrinkToFit="1"/>
    </xf>
    <xf numFmtId="0" fontId="5" fillId="0" borderId="2" xfId="0" applyFont="1" applyBorder="1" applyAlignment="1" applyProtection="1">
      <alignment wrapText="1"/>
      <protection hidden="1"/>
    </xf>
    <xf numFmtId="0" fontId="2" fillId="0" borderId="3" xfId="0" applyFont="1" applyBorder="1" applyAlignment="1" applyProtection="1">
      <alignment wrapText="1"/>
      <protection hidden="1"/>
    </xf>
    <xf numFmtId="0" fontId="7" fillId="15" borderId="0" xfId="1" applyFont="1" applyFill="1" applyAlignment="1" applyProtection="1">
      <alignment horizontal="left" vertical="center" shrinkToFit="1"/>
      <protection hidden="1"/>
    </xf>
    <xf numFmtId="0" fontId="8" fillId="15" borderId="0" xfId="0" applyFont="1" applyFill="1" applyAlignment="1" applyProtection="1">
      <alignment horizontal="left" vertical="center" shrinkToFit="1"/>
      <protection hidden="1"/>
    </xf>
    <xf numFmtId="0" fontId="7" fillId="8" borderId="0" xfId="1" applyFont="1" applyFill="1" applyAlignment="1" applyProtection="1">
      <alignment horizontal="left" vertical="center" shrinkToFit="1"/>
      <protection hidden="1"/>
    </xf>
    <xf numFmtId="0" fontId="8" fillId="8" borderId="0" xfId="0" applyFont="1" applyFill="1" applyAlignment="1" applyProtection="1">
      <alignment horizontal="left" vertical="center" shrinkToFit="1"/>
      <protection hidden="1"/>
    </xf>
    <xf numFmtId="0" fontId="7" fillId="9" borderId="0" xfId="1" applyFont="1" applyFill="1" applyBorder="1" applyAlignment="1" applyProtection="1">
      <alignment horizontal="left" vertical="center" shrinkToFit="1"/>
      <protection hidden="1"/>
    </xf>
    <xf numFmtId="0" fontId="8" fillId="9" borderId="0" xfId="0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0" xfId="0" applyFont="1" applyAlignment="1"/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2" fontId="2" fillId="8" borderId="1" xfId="0" applyNumberFormat="1" applyFont="1" applyFill="1" applyBorder="1" applyAlignment="1" applyProtection="1">
      <alignment horizontal="center" vertical="center" shrinkToFit="1"/>
      <protection hidden="1"/>
    </xf>
    <xf numFmtId="0" fontId="2" fillId="8" borderId="1" xfId="0" applyFont="1" applyFill="1" applyBorder="1" applyAlignment="1" applyProtection="1">
      <alignment horizontal="center" vertical="center" shrinkToFit="1"/>
      <protection hidden="1"/>
    </xf>
    <xf numFmtId="0" fontId="8" fillId="17" borderId="0" xfId="0" applyFont="1" applyFill="1" applyAlignment="1" applyProtection="1">
      <alignment horizontal="center" vertical="center" shrinkToFit="1"/>
      <protection hidden="1"/>
    </xf>
    <xf numFmtId="0" fontId="0" fillId="17" borderId="0" xfId="0" applyFill="1" applyAlignment="1" applyProtection="1">
      <alignment vertical="center" shrinkToFit="1"/>
      <protection hidden="1"/>
    </xf>
    <xf numFmtId="0" fontId="8" fillId="0" borderId="7" xfId="0" applyFont="1" applyBorder="1" applyAlignment="1" applyProtection="1">
      <alignment shrinkToFit="1"/>
      <protection hidden="1"/>
    </xf>
    <xf numFmtId="0" fontId="0" fillId="0" borderId="9" xfId="0" applyBorder="1" applyAlignment="1" applyProtection="1">
      <alignment shrinkToFit="1"/>
      <protection hidden="1"/>
    </xf>
    <xf numFmtId="0" fontId="0" fillId="0" borderId="8" xfId="0" applyBorder="1" applyAlignment="1" applyProtection="1">
      <alignment shrinkToFit="1"/>
      <protection hidden="1"/>
    </xf>
    <xf numFmtId="0" fontId="8" fillId="17" borderId="10" xfId="0" applyFont="1" applyFill="1" applyBorder="1" applyAlignment="1" applyProtection="1">
      <alignment horizontal="center" vertical="center" shrinkToFit="1"/>
      <protection hidden="1"/>
    </xf>
    <xf numFmtId="0" fontId="0" fillId="17" borderId="10" xfId="0" applyFill="1" applyBorder="1" applyAlignment="1" applyProtection="1">
      <alignment horizontal="center" vertical="center" shrinkToFit="1"/>
      <protection hidden="1"/>
    </xf>
    <xf numFmtId="0" fontId="8" fillId="17" borderId="0" xfId="0" applyFont="1" applyFill="1" applyAlignment="1" applyProtection="1">
      <alignment horizontal="center" vertical="center"/>
      <protection hidden="1"/>
    </xf>
    <xf numFmtId="0" fontId="0" fillId="17" borderId="0" xfId="0" applyFill="1" applyAlignment="1" applyProtection="1">
      <alignment horizontal="center" vertical="center"/>
      <protection hidden="1"/>
    </xf>
    <xf numFmtId="2" fontId="8" fillId="8" borderId="1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protection hidden="1"/>
    </xf>
    <xf numFmtId="2" fontId="2" fillId="8" borderId="0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shrinkToFit="1"/>
      <protection hidden="1"/>
    </xf>
    <xf numFmtId="0" fontId="2" fillId="0" borderId="11" xfId="0" applyFont="1" applyBorder="1" applyAlignment="1" applyProtection="1">
      <alignment horizontal="right" vertical="center"/>
      <protection hidden="1"/>
    </xf>
    <xf numFmtId="0" fontId="2" fillId="0" borderId="11" xfId="0" applyFont="1" applyBorder="1" applyAlignment="1" applyProtection="1">
      <protection hidden="1"/>
    </xf>
    <xf numFmtId="0" fontId="12" fillId="0" borderId="0" xfId="1" applyFont="1" applyFill="1" applyBorder="1" applyAlignment="1" applyProtection="1">
      <alignment horizontal="center" vertical="top" wrapText="1"/>
      <protection hidden="1"/>
    </xf>
    <xf numFmtId="0" fontId="2" fillId="0" borderId="11" xfId="0" applyFont="1" applyBorder="1" applyAlignment="1" applyProtection="1">
      <alignment horizontal="right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protection hidden="1"/>
    </xf>
    <xf numFmtId="2" fontId="16" fillId="8" borderId="1" xfId="0" applyNumberFormat="1" applyFont="1" applyFill="1" applyBorder="1" applyAlignment="1" applyProtection="1">
      <alignment horizontal="center" vertical="center"/>
      <protection hidden="1"/>
    </xf>
    <xf numFmtId="0" fontId="8" fillId="8" borderId="1" xfId="0" applyFont="1" applyFill="1" applyBorder="1" applyAlignment="1" applyProtection="1">
      <protection hidden="1"/>
    </xf>
    <xf numFmtId="0" fontId="13" fillId="15" borderId="0" xfId="1" applyFont="1" applyFill="1" applyAlignment="1" applyProtection="1">
      <alignment horizontal="left" vertical="center" shrinkToFit="1"/>
      <protection hidden="1"/>
    </xf>
    <xf numFmtId="0" fontId="2" fillId="15" borderId="0" xfId="0" applyFont="1" applyFill="1" applyAlignment="1" applyProtection="1">
      <alignment horizontal="left" shrinkToFit="1"/>
      <protection hidden="1"/>
    </xf>
    <xf numFmtId="0" fontId="13" fillId="8" borderId="0" xfId="1" applyFont="1" applyFill="1" applyAlignment="1" applyProtection="1">
      <alignment horizontal="left" vertical="center" shrinkToFit="1"/>
      <protection hidden="1"/>
    </xf>
    <xf numFmtId="0" fontId="2" fillId="8" borderId="0" xfId="0" applyFont="1" applyFill="1" applyAlignment="1" applyProtection="1">
      <alignment horizontal="left" shrinkToFit="1"/>
      <protection hidden="1"/>
    </xf>
    <xf numFmtId="0" fontId="13" fillId="9" borderId="0" xfId="1" applyFont="1" applyFill="1" applyBorder="1" applyAlignment="1" applyProtection="1">
      <alignment horizontal="left" vertical="center" shrinkToFit="1"/>
      <protection hidden="1"/>
    </xf>
    <xf numFmtId="0" fontId="2" fillId="9" borderId="0" xfId="0" applyFont="1" applyFill="1" applyAlignment="1" applyProtection="1">
      <alignment horizontal="left" shrinkToFit="1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8" fillId="0" borderId="0" xfId="0" applyFont="1" applyAlignment="1" applyProtection="1">
      <protection hidden="1"/>
    </xf>
    <xf numFmtId="0" fontId="8" fillId="0" borderId="2" xfId="0" applyFont="1" applyBorder="1" applyAlignment="1" applyProtection="1">
      <alignment horizontal="left" vertical="top" wrapText="1"/>
      <protection hidden="1"/>
    </xf>
    <xf numFmtId="0" fontId="8" fillId="0" borderId="3" xfId="0" applyFont="1" applyBorder="1" applyAlignment="1" applyProtection="1">
      <alignment horizontal="left" vertical="top" wrapText="1"/>
      <protection hidden="1"/>
    </xf>
    <xf numFmtId="0" fontId="8" fillId="0" borderId="4" xfId="0" applyFont="1" applyBorder="1" applyAlignment="1" applyProtection="1">
      <alignment horizontal="left" vertical="top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protection hidden="1"/>
    </xf>
    <xf numFmtId="0" fontId="8" fillId="0" borderId="1" xfId="0" applyFont="1" applyBorder="1" applyAlignment="1" applyProtection="1">
      <alignment horizontal="left" vertical="top" wrapText="1"/>
      <protection hidden="1"/>
    </xf>
    <xf numFmtId="0" fontId="8" fillId="0" borderId="1" xfId="0" applyFont="1" applyBorder="1" applyAlignment="1" applyProtection="1">
      <alignment horizontal="left" vertical="top"/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vertical="top" wrapText="1"/>
      <protection hidden="1"/>
    </xf>
    <xf numFmtId="0" fontId="8" fillId="0" borderId="1" xfId="0" applyFont="1" applyBorder="1" applyAlignment="1" applyProtection="1">
      <alignment vertical="top"/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0" fontId="18" fillId="0" borderId="3" xfId="0" applyFont="1" applyBorder="1" applyAlignment="1" applyProtection="1">
      <alignment horizontal="center" vertical="center"/>
      <protection hidden="1"/>
    </xf>
    <xf numFmtId="0" fontId="18" fillId="0" borderId="4" xfId="0" applyFont="1" applyBorder="1" applyAlignment="1" applyProtection="1">
      <alignment horizontal="center" vertical="center"/>
      <protection hidden="1"/>
    </xf>
    <xf numFmtId="0" fontId="18" fillId="0" borderId="2" xfId="0" applyFont="1" applyBorder="1" applyAlignment="1" applyProtection="1">
      <alignment vertical="top" wrapText="1"/>
      <protection hidden="1"/>
    </xf>
    <xf numFmtId="0" fontId="18" fillId="0" borderId="3" xfId="0" applyFont="1" applyBorder="1" applyAlignment="1" applyProtection="1">
      <alignment vertical="top" wrapText="1"/>
      <protection hidden="1"/>
    </xf>
    <xf numFmtId="0" fontId="18" fillId="0" borderId="4" xfId="0" applyFont="1" applyBorder="1" applyAlignment="1" applyProtection="1">
      <alignment vertical="top" wrapText="1"/>
      <protection hidden="1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0" fontId="18" fillId="0" borderId="4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vertical="top" wrapText="1"/>
      <protection hidden="1"/>
    </xf>
    <xf numFmtId="0" fontId="8" fillId="0" borderId="4" xfId="0" applyFont="1" applyBorder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horizontal="center" vertical="center" shrinkToFit="1"/>
      <protection hidden="1"/>
    </xf>
    <xf numFmtId="0" fontId="0" fillId="0" borderId="0" xfId="0" applyAlignment="1">
      <alignment horizontal="center" vertical="center" shrinkToFit="1"/>
    </xf>
    <xf numFmtId="0" fontId="70" fillId="26" borderId="16" xfId="0" applyFont="1" applyFill="1" applyBorder="1" applyAlignment="1" applyProtection="1">
      <alignment horizontal="center" vertical="center" wrapText="1"/>
      <protection hidden="1"/>
    </xf>
    <xf numFmtId="0" fontId="64" fillId="0" borderId="16" xfId="0" applyFont="1" applyBorder="1" applyAlignment="1" applyProtection="1">
      <protection hidden="1"/>
    </xf>
    <xf numFmtId="0" fontId="67" fillId="0" borderId="16" xfId="0" applyFont="1" applyBorder="1" applyAlignment="1" applyProtection="1">
      <alignment vertical="center" wrapText="1"/>
      <protection hidden="1"/>
    </xf>
    <xf numFmtId="0" fontId="72" fillId="0" borderId="16" xfId="0" applyFont="1" applyBorder="1" applyAlignment="1" applyProtection="1">
      <protection hidden="1"/>
    </xf>
    <xf numFmtId="0" fontId="75" fillId="0" borderId="16" xfId="0" applyFont="1" applyBorder="1" applyAlignment="1" applyProtection="1">
      <alignment vertical="center" wrapText="1"/>
      <protection hidden="1"/>
    </xf>
    <xf numFmtId="0" fontId="25" fillId="0" borderId="16" xfId="0" applyFont="1" applyBorder="1" applyAlignment="1" applyProtection="1">
      <protection hidden="1"/>
    </xf>
    <xf numFmtId="0" fontId="65" fillId="26" borderId="16" xfId="0" applyFont="1" applyFill="1" applyBorder="1" applyAlignment="1" applyProtection="1">
      <alignment horizontal="center" vertical="center" wrapText="1"/>
      <protection hidden="1"/>
    </xf>
    <xf numFmtId="0" fontId="76" fillId="0" borderId="16" xfId="0" applyFont="1" applyBorder="1" applyAlignment="1" applyProtection="1">
      <alignment vertical="center" wrapText="1"/>
      <protection hidden="1"/>
    </xf>
    <xf numFmtId="0" fontId="77" fillId="0" borderId="16" xfId="0" applyFont="1" applyBorder="1" applyAlignment="1" applyProtection="1">
      <protection hidden="1"/>
    </xf>
    <xf numFmtId="0" fontId="68" fillId="26" borderId="16" xfId="0" applyFont="1" applyFill="1" applyBorder="1" applyAlignment="1" applyProtection="1">
      <alignment horizontal="center" vertical="center" wrapText="1"/>
      <protection hidden="1"/>
    </xf>
    <xf numFmtId="0" fontId="73" fillId="0" borderId="16" xfId="0" applyFont="1" applyBorder="1" applyAlignment="1" applyProtection="1">
      <protection hidden="1"/>
    </xf>
    <xf numFmtId="0" fontId="8" fillId="7" borderId="7" xfId="0" applyFont="1" applyFill="1" applyBorder="1" applyAlignment="1" applyProtection="1">
      <alignment horizontal="left" vertical="top" wrapText="1"/>
    </xf>
    <xf numFmtId="0" fontId="0" fillId="0" borderId="9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0" fontId="18" fillId="7" borderId="1" xfId="0" applyFont="1" applyFill="1" applyBorder="1" applyAlignment="1" applyProtection="1">
      <alignment horizontal="left" vertical="top"/>
      <protection hidden="1"/>
    </xf>
    <xf numFmtId="0" fontId="0" fillId="0" borderId="1" xfId="0" applyBorder="1" applyAlignment="1" applyProtection="1">
      <alignment horizontal="left" vertical="top"/>
      <protection hidden="1"/>
    </xf>
    <xf numFmtId="0" fontId="2" fillId="3" borderId="1" xfId="0" applyFont="1" applyFill="1" applyBorder="1" applyAlignment="1" applyProtection="1">
      <alignment horizontal="center" vertical="center" shrinkToFi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1" fillId="12" borderId="0" xfId="0" applyFont="1" applyFill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63" fillId="10" borderId="0" xfId="0" applyFont="1" applyFill="1" applyAlignment="1" applyProtection="1">
      <protection hidden="1"/>
    </xf>
    <xf numFmtId="0" fontId="2" fillId="0" borderId="0" xfId="0" applyFont="1" applyAlignment="1"/>
    <xf numFmtId="0" fontId="63" fillId="10" borderId="0" xfId="0" applyFont="1" applyFill="1" applyAlignment="1">
      <alignment shrinkToFit="1"/>
    </xf>
    <xf numFmtId="0" fontId="2" fillId="0" borderId="0" xfId="0" applyFont="1" applyAlignment="1">
      <alignment shrinkToFit="1"/>
    </xf>
    <xf numFmtId="0" fontId="18" fillId="7" borderId="1" xfId="0" applyFont="1" applyFill="1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2" fontId="18" fillId="0" borderId="1" xfId="0" applyNumberFormat="1" applyFont="1" applyBorder="1" applyAlignment="1" applyProtection="1">
      <alignment vertical="top" wrapText="1"/>
      <protection hidden="1"/>
    </xf>
    <xf numFmtId="0" fontId="18" fillId="0" borderId="2" xfId="0" applyFont="1" applyBorder="1" applyAlignment="1" applyProtection="1">
      <alignment horizontal="left" vertical="top" wrapText="1"/>
      <protection hidden="1"/>
    </xf>
    <xf numFmtId="0" fontId="18" fillId="0" borderId="3" xfId="0" applyFont="1" applyBorder="1" applyAlignment="1" applyProtection="1">
      <alignment horizontal="left" vertical="top" wrapText="1"/>
      <protection hidden="1"/>
    </xf>
    <xf numFmtId="0" fontId="18" fillId="0" borderId="4" xfId="0" applyFont="1" applyBorder="1" applyAlignment="1" applyProtection="1">
      <alignment horizontal="left" vertical="top" wrapText="1"/>
      <protection hidden="1"/>
    </xf>
    <xf numFmtId="0" fontId="8" fillId="3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shrinkToFit="1"/>
      <protection hidden="1"/>
    </xf>
    <xf numFmtId="0" fontId="8" fillId="0" borderId="0" xfId="0" applyFont="1" applyProtection="1">
      <protection hidden="1"/>
    </xf>
    <xf numFmtId="0" fontId="8" fillId="0" borderId="1" xfId="0" applyFont="1" applyBorder="1" applyAlignment="1" applyProtection="1">
      <alignment vertical="center"/>
      <protection hidden="1"/>
    </xf>
    <xf numFmtId="0" fontId="30" fillId="0" borderId="0" xfId="3" applyFont="1" applyAlignment="1" applyProtection="1">
      <alignment shrinkToFit="1"/>
      <protection hidden="1"/>
    </xf>
    <xf numFmtId="0" fontId="0" fillId="0" borderId="0" xfId="0" applyAlignment="1">
      <alignment shrinkToFit="1"/>
    </xf>
    <xf numFmtId="0" fontId="0" fillId="0" borderId="0" xfId="0" applyAlignment="1"/>
    <xf numFmtId="0" fontId="2" fillId="3" borderId="2" xfId="3" applyFont="1" applyFill="1" applyBorder="1" applyAlignment="1" applyProtection="1">
      <alignment horizontal="center" vertical="center" shrinkToFit="1"/>
      <protection hidden="1"/>
    </xf>
    <xf numFmtId="0" fontId="29" fillId="3" borderId="4" xfId="3" applyFill="1" applyBorder="1" applyAlignment="1">
      <alignment shrinkToFit="1"/>
    </xf>
    <xf numFmtId="0" fontId="2" fillId="3" borderId="7" xfId="3" applyFont="1" applyFill="1" applyBorder="1" applyAlignment="1" applyProtection="1">
      <alignment horizontal="center"/>
      <protection hidden="1"/>
    </xf>
    <xf numFmtId="0" fontId="29" fillId="0" borderId="9" xfId="3" applyBorder="1" applyAlignment="1"/>
    <xf numFmtId="0" fontId="2" fillId="16" borderId="1" xfId="3" applyFont="1" applyFill="1" applyBorder="1" applyAlignment="1" applyProtection="1">
      <alignment shrinkToFit="1"/>
      <protection hidden="1"/>
    </xf>
    <xf numFmtId="0" fontId="2" fillId="16" borderId="1" xfId="0" applyFont="1" applyFill="1" applyBorder="1" applyAlignment="1">
      <alignment shrinkToFit="1"/>
    </xf>
    <xf numFmtId="0" fontId="2" fillId="16" borderId="1" xfId="0" applyFont="1" applyFill="1" applyBorder="1" applyAlignment="1"/>
    <xf numFmtId="0" fontId="9" fillId="16" borderId="1" xfId="3" applyFont="1" applyFill="1" applyBorder="1" applyAlignment="1" applyProtection="1">
      <alignment shrinkToFit="1"/>
      <protection hidden="1"/>
    </xf>
    <xf numFmtId="0" fontId="9" fillId="16" borderId="1" xfId="0" applyFont="1" applyFill="1" applyBorder="1" applyAlignment="1">
      <alignment shrinkToFit="1"/>
    </xf>
    <xf numFmtId="0" fontId="9" fillId="16" borderId="1" xfId="0" applyFont="1" applyFill="1" applyBorder="1" applyAlignment="1"/>
    <xf numFmtId="0" fontId="78" fillId="3" borderId="1" xfId="3" applyFont="1" applyFill="1" applyBorder="1" applyAlignment="1" applyProtection="1">
      <alignment horizontal="center" vertical="center" shrinkToFit="1"/>
      <protection hidden="1"/>
    </xf>
    <xf numFmtId="0" fontId="79" fillId="3" borderId="1" xfId="0" applyFont="1" applyFill="1" applyBorder="1" applyAlignment="1">
      <alignment horizontal="center" vertical="center" shrinkToFit="1"/>
    </xf>
    <xf numFmtId="0" fontId="79" fillId="3" borderId="1" xfId="0" applyFont="1" applyFill="1" applyBorder="1" applyAlignment="1">
      <alignment horizontal="center" vertical="center"/>
    </xf>
    <xf numFmtId="0" fontId="2" fillId="3" borderId="2" xfId="3" applyFont="1" applyFill="1" applyBorder="1" applyAlignment="1" applyProtection="1">
      <alignment horizontal="center" wrapText="1" shrinkToFit="1"/>
      <protection hidden="1"/>
    </xf>
    <xf numFmtId="0" fontId="29" fillId="0" borderId="4" xfId="3" applyBorder="1" applyAlignment="1">
      <alignment wrapText="1" shrinkToFit="1"/>
    </xf>
    <xf numFmtId="0" fontId="2" fillId="3" borderId="2" xfId="3" applyFont="1" applyFill="1" applyBorder="1" applyAlignment="1" applyProtection="1">
      <alignment horizontal="center" vertical="center" wrapText="1" shrinkToFit="1"/>
      <protection hidden="1"/>
    </xf>
    <xf numFmtId="0" fontId="29" fillId="0" borderId="4" xfId="3" applyBorder="1" applyAlignment="1">
      <alignment horizontal="center" vertical="center" wrapText="1"/>
    </xf>
    <xf numFmtId="0" fontId="2" fillId="16" borderId="1" xfId="3" applyFont="1" applyFill="1" applyBorder="1" applyAlignment="1" applyProtection="1">
      <alignment shrinkToFit="1"/>
    </xf>
    <xf numFmtId="0" fontId="2" fillId="3" borderId="1" xfId="3" applyFont="1" applyFill="1" applyBorder="1" applyAlignment="1" applyProtection="1">
      <alignment horizontal="center" vertical="center" shrinkToFit="1"/>
      <protection hidden="1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/>
    <xf numFmtId="0" fontId="2" fillId="12" borderId="1" xfId="3" applyFont="1" applyFill="1" applyBorder="1" applyAlignment="1" applyProtection="1">
      <alignment horizontal="left" vertical="center" shrinkToFit="1"/>
      <protection hidden="1"/>
    </xf>
    <xf numFmtId="0" fontId="64" fillId="12" borderId="1" xfId="0" applyFont="1" applyFill="1" applyBorder="1" applyAlignment="1">
      <alignment horizontal="left" vertical="center" shrinkToFit="1"/>
    </xf>
    <xf numFmtId="0" fontId="64" fillId="12" borderId="1" xfId="0" applyFont="1" applyFill="1" applyBorder="1" applyAlignment="1">
      <alignment shrinkToFit="1"/>
    </xf>
    <xf numFmtId="0" fontId="64" fillId="12" borderId="1" xfId="0" applyFont="1" applyFill="1" applyBorder="1" applyAlignment="1"/>
    <xf numFmtId="0" fontId="2" fillId="12" borderId="7" xfId="3" applyFont="1" applyFill="1" applyBorder="1" applyAlignment="1" applyProtection="1">
      <alignment shrinkToFit="1"/>
      <protection hidden="1"/>
    </xf>
    <xf numFmtId="0" fontId="2" fillId="12" borderId="9" xfId="0" applyFont="1" applyFill="1" applyBorder="1" applyAlignment="1" applyProtection="1">
      <alignment shrinkToFit="1"/>
      <protection hidden="1"/>
    </xf>
    <xf numFmtId="0" fontId="2" fillId="12" borderId="9" xfId="0" applyFont="1" applyFill="1" applyBorder="1" applyAlignment="1"/>
    <xf numFmtId="0" fontId="0" fillId="0" borderId="9" xfId="0" applyBorder="1" applyAlignment="1"/>
    <xf numFmtId="0" fontId="0" fillId="0" borderId="8" xfId="0" applyBorder="1" applyAlignment="1"/>
    <xf numFmtId="0" fontId="22" fillId="19" borderId="1" xfId="3" applyFont="1" applyFill="1" applyBorder="1" applyAlignment="1" applyProtection="1">
      <alignment horizontal="center" vertical="center" wrapText="1"/>
      <protection hidden="1"/>
    </xf>
    <xf numFmtId="0" fontId="37" fillId="19" borderId="1" xfId="3" applyFont="1" applyFill="1" applyBorder="1" applyAlignment="1" applyProtection="1">
      <alignment vertical="center" wrapText="1"/>
      <protection hidden="1"/>
    </xf>
    <xf numFmtId="0" fontId="22" fillId="19" borderId="7" xfId="3" applyFont="1" applyFill="1" applyBorder="1" applyAlignment="1" applyProtection="1">
      <alignment horizontal="center"/>
      <protection hidden="1"/>
    </xf>
    <xf numFmtId="0" fontId="36" fillId="0" borderId="9" xfId="3" applyFont="1" applyBorder="1" applyAlignment="1"/>
    <xf numFmtId="0" fontId="36" fillId="0" borderId="8" xfId="3" applyFont="1" applyBorder="1" applyAlignment="1"/>
    <xf numFmtId="0" fontId="22" fillId="19" borderId="2" xfId="3" applyFont="1" applyFill="1" applyBorder="1" applyAlignment="1" applyProtection="1">
      <alignment horizontal="center" vertical="center" wrapText="1" shrinkToFit="1"/>
      <protection hidden="1"/>
    </xf>
    <xf numFmtId="0" fontId="36" fillId="0" borderId="4" xfId="3" applyFont="1" applyBorder="1" applyAlignment="1">
      <alignment vertical="center"/>
    </xf>
    <xf numFmtId="0" fontId="22" fillId="19" borderId="2" xfId="3" applyFont="1" applyFill="1" applyBorder="1" applyAlignment="1" applyProtection="1">
      <alignment horizontal="center" wrapText="1" shrinkToFit="1"/>
      <protection hidden="1"/>
    </xf>
    <xf numFmtId="0" fontId="36" fillId="0" borderId="4" xfId="3" applyFont="1" applyBorder="1" applyAlignment="1"/>
    <xf numFmtId="0" fontId="24" fillId="0" borderId="16" xfId="0" applyFont="1" applyBorder="1" applyAlignment="1" applyProtection="1">
      <alignment vertical="center" wrapText="1"/>
      <protection hidden="1"/>
    </xf>
    <xf numFmtId="0" fontId="5" fillId="0" borderId="16" xfId="0" applyFont="1" applyBorder="1" applyAlignment="1"/>
    <xf numFmtId="0" fontId="70" fillId="24" borderId="16" xfId="0" applyFont="1" applyFill="1" applyBorder="1" applyAlignment="1" applyProtection="1">
      <alignment horizontal="center" vertical="center" wrapText="1"/>
      <protection hidden="1"/>
    </xf>
    <xf numFmtId="0" fontId="0" fillId="24" borderId="16" xfId="0" applyFill="1" applyBorder="1" applyAlignment="1"/>
    <xf numFmtId="0" fontId="68" fillId="0" borderId="16" xfId="0" applyFont="1" applyBorder="1" applyAlignment="1" applyProtection="1">
      <alignment vertical="center" wrapText="1"/>
      <protection hidden="1"/>
    </xf>
    <xf numFmtId="0" fontId="73" fillId="0" borderId="16" xfId="0" applyFont="1" applyBorder="1" applyAlignment="1"/>
    <xf numFmtId="0" fontId="0" fillId="24" borderId="16" xfId="0" applyFont="1" applyFill="1" applyBorder="1" applyAlignment="1"/>
    <xf numFmtId="0" fontId="65" fillId="0" borderId="16" xfId="0" applyFont="1" applyBorder="1" applyAlignment="1" applyProtection="1">
      <alignment vertical="center" wrapText="1"/>
      <protection hidden="1"/>
    </xf>
    <xf numFmtId="0" fontId="64" fillId="0" borderId="16" xfId="0" applyFont="1" applyBorder="1" applyAlignment="1"/>
    <xf numFmtId="0" fontId="70" fillId="0" borderId="16" xfId="0" applyFont="1" applyBorder="1" applyAlignment="1" applyProtection="1">
      <alignment vertical="center" shrinkToFit="1"/>
      <protection hidden="1"/>
    </xf>
    <xf numFmtId="0" fontId="64" fillId="0" borderId="16" xfId="0" applyFont="1" applyBorder="1" applyAlignment="1">
      <alignment shrinkToFit="1"/>
    </xf>
    <xf numFmtId="0" fontId="2" fillId="0" borderId="0" xfId="0" applyFont="1" applyAlignment="1" applyProtection="1">
      <alignment shrinkToFit="1"/>
      <protection hidden="1"/>
    </xf>
    <xf numFmtId="0" fontId="74" fillId="0" borderId="16" xfId="0" applyFont="1" applyBorder="1" applyAlignment="1" applyProtection="1">
      <alignment vertical="center" wrapText="1"/>
      <protection hidden="1"/>
    </xf>
    <xf numFmtId="0" fontId="2" fillId="3" borderId="7" xfId="0" applyFont="1" applyFill="1" applyBorder="1" applyAlignment="1" applyProtection="1">
      <alignment shrinkToFit="1"/>
      <protection hidden="1"/>
    </xf>
    <xf numFmtId="0" fontId="0" fillId="3" borderId="9" xfId="0" applyFill="1" applyBorder="1" applyAlignment="1">
      <alignment shrinkToFit="1"/>
    </xf>
    <xf numFmtId="0" fontId="0" fillId="3" borderId="8" xfId="0" applyFill="1" applyBorder="1" applyAlignment="1">
      <alignment shrinkToFit="1"/>
    </xf>
    <xf numFmtId="0" fontId="0" fillId="24" borderId="16" xfId="0" applyFont="1" applyFill="1" applyBorder="1" applyAlignment="1" applyProtection="1">
      <protection hidden="1"/>
    </xf>
    <xf numFmtId="0" fontId="8" fillId="3" borderId="2" xfId="0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protection hidden="1"/>
    </xf>
    <xf numFmtId="0" fontId="0" fillId="0" borderId="4" xfId="0" applyBorder="1" applyAlignment="1" applyProtection="1">
      <protection hidden="1"/>
    </xf>
    <xf numFmtId="0" fontId="8" fillId="3" borderId="2" xfId="0" applyFont="1" applyFill="1" applyBorder="1" applyAlignment="1" applyProtection="1">
      <alignment horizontal="center"/>
      <protection hidden="1"/>
    </xf>
    <xf numFmtId="0" fontId="8" fillId="12" borderId="1" xfId="0" applyFont="1" applyFill="1" applyBorder="1" applyAlignment="1" applyProtection="1">
      <alignment horizontal="center" vertical="center" shrinkToFit="1"/>
      <protection hidden="1"/>
    </xf>
    <xf numFmtId="0" fontId="8" fillId="7" borderId="1" xfId="0" applyFont="1" applyFill="1" applyBorder="1" applyAlignment="1" applyProtection="1">
      <alignment horizontal="left" vertical="top"/>
    </xf>
    <xf numFmtId="0" fontId="0" fillId="7" borderId="1" xfId="0" applyFill="1" applyBorder="1" applyAlignment="1" applyProtection="1">
      <alignment horizontal="left" vertical="top"/>
    </xf>
    <xf numFmtId="0" fontId="1" fillId="3" borderId="0" xfId="0" applyFont="1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protection hidden="1"/>
    </xf>
    <xf numFmtId="0" fontId="8" fillId="8" borderId="1" xfId="0" applyFont="1" applyFill="1" applyBorder="1" applyAlignment="1" applyProtection="1">
      <alignment shrinkToFit="1"/>
      <protection hidden="1"/>
    </xf>
    <xf numFmtId="0" fontId="8" fillId="12" borderId="7" xfId="0" applyFont="1" applyFill="1" applyBorder="1" applyAlignment="1" applyProtection="1">
      <alignment horizontal="center" vertical="center" shrinkToFit="1"/>
      <protection hidden="1"/>
    </xf>
    <xf numFmtId="0" fontId="8" fillId="0" borderId="8" xfId="0" applyFont="1" applyBorder="1" applyAlignment="1" applyProtection="1">
      <alignment horizontal="center" vertical="center" shrinkToFit="1"/>
      <protection hidden="1"/>
    </xf>
    <xf numFmtId="0" fontId="0" fillId="3" borderId="1" xfId="0" applyFill="1" applyBorder="1" applyAlignment="1" applyProtection="1">
      <alignment horizontal="center" vertical="center" shrinkToFi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24" fillId="9" borderId="1" xfId="0" applyFont="1" applyFill="1" applyBorder="1" applyAlignment="1" applyProtection="1">
      <alignment horizontal="left" vertical="top" shrinkToFit="1"/>
      <protection hidden="1"/>
    </xf>
    <xf numFmtId="0" fontId="24" fillId="7" borderId="1" xfId="0" applyFont="1" applyFill="1" applyBorder="1" applyAlignment="1" applyProtection="1">
      <alignment horizontal="left" vertical="center" wrapText="1"/>
    </xf>
    <xf numFmtId="0" fontId="8" fillId="7" borderId="1" xfId="0" applyFont="1" applyFill="1" applyBorder="1" applyAlignment="1" applyProtection="1"/>
    <xf numFmtId="0" fontId="24" fillId="9" borderId="1" xfId="0" applyFont="1" applyFill="1" applyBorder="1" applyAlignment="1" applyProtection="1">
      <alignment horizontal="left" vertical="center" wrapText="1"/>
      <protection hidden="1"/>
    </xf>
    <xf numFmtId="0" fontId="8" fillId="7" borderId="1" xfId="0" applyFont="1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protection hidden="1"/>
    </xf>
    <xf numFmtId="0" fontId="25" fillId="3" borderId="1" xfId="0" applyFont="1" applyFill="1" applyBorder="1" applyAlignment="1" applyProtection="1">
      <alignment horizontal="center" vertical="center" wrapText="1"/>
      <protection hidden="1"/>
    </xf>
    <xf numFmtId="0" fontId="26" fillId="3" borderId="1" xfId="0" applyFont="1" applyFill="1" applyBorder="1" applyAlignment="1" applyProtection="1">
      <alignment horizontal="center" vertical="center" wrapText="1"/>
      <protection hidden="1"/>
    </xf>
    <xf numFmtId="0" fontId="18" fillId="7" borderId="1" xfId="0" applyFont="1" applyFill="1" applyBorder="1" applyAlignment="1" applyProtection="1"/>
    <xf numFmtId="0" fontId="8" fillId="0" borderId="1" xfId="0" applyFont="1" applyBorder="1" applyAlignment="1" applyProtection="1"/>
    <xf numFmtId="0" fontId="2" fillId="0" borderId="0" xfId="0" applyFont="1" applyFill="1" applyBorder="1" applyAlignment="1" applyProtection="1">
      <alignment horizontal="justify" vertical="center"/>
      <protection hidden="1"/>
    </xf>
    <xf numFmtId="0" fontId="2" fillId="0" borderId="0" xfId="0" applyFont="1" applyAlignment="1" applyProtection="1">
      <protection hidden="1"/>
    </xf>
    <xf numFmtId="0" fontId="18" fillId="0" borderId="1" xfId="0" applyFont="1" applyFill="1" applyBorder="1" applyAlignment="1" applyProtection="1">
      <alignment horizontal="justify" vertical="center"/>
      <protection hidden="1"/>
    </xf>
    <xf numFmtId="0" fontId="2" fillId="3" borderId="1" xfId="0" applyFont="1" applyFill="1" applyBorder="1" applyAlignment="1" applyProtection="1"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43" fontId="18" fillId="7" borderId="1" xfId="2" applyFont="1" applyFill="1" applyBorder="1" applyAlignment="1" applyProtection="1"/>
    <xf numFmtId="0" fontId="8" fillId="12" borderId="1" xfId="0" applyFont="1" applyFill="1" applyBorder="1" applyAlignment="1" applyProtection="1">
      <protection hidden="1"/>
    </xf>
    <xf numFmtId="0" fontId="18" fillId="7" borderId="7" xfId="0" applyFont="1" applyFill="1" applyBorder="1" applyAlignment="1" applyProtection="1">
      <alignment horizontal="left" vertical="top" wrapText="1"/>
    </xf>
    <xf numFmtId="0" fontId="8" fillId="0" borderId="9" xfId="0" applyFont="1" applyBorder="1" applyAlignment="1" applyProtection="1">
      <alignment horizontal="left" vertical="top" wrapText="1"/>
    </xf>
    <xf numFmtId="0" fontId="8" fillId="0" borderId="9" xfId="0" applyFont="1" applyBorder="1" applyAlignment="1" applyProtection="1">
      <alignment horizontal="left" vertical="top"/>
    </xf>
    <xf numFmtId="0" fontId="8" fillId="0" borderId="8" xfId="0" applyFont="1" applyBorder="1" applyAlignment="1" applyProtection="1">
      <alignment horizontal="left" vertical="top"/>
    </xf>
    <xf numFmtId="0" fontId="18" fillId="7" borderId="1" xfId="0" applyFont="1" applyFill="1" applyBorder="1" applyAlignment="1" applyProtection="1">
      <alignment vertical="top" wrapText="1"/>
    </xf>
    <xf numFmtId="0" fontId="8" fillId="0" borderId="1" xfId="0" applyFont="1" applyBorder="1" applyAlignment="1" applyProtection="1">
      <alignment vertical="top" wrapText="1"/>
    </xf>
    <xf numFmtId="0" fontId="8" fillId="0" borderId="1" xfId="0" applyFont="1" applyBorder="1" applyAlignment="1" applyProtection="1">
      <alignment vertical="top"/>
    </xf>
    <xf numFmtId="0" fontId="18" fillId="7" borderId="1" xfId="0" applyFont="1" applyFill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 vertical="top"/>
    </xf>
    <xf numFmtId="0" fontId="14" fillId="7" borderId="1" xfId="0" applyFont="1" applyFill="1" applyBorder="1" applyAlignment="1" applyProtection="1">
      <alignment horizontal="left" vertical="top" wrapText="1" readingOrder="1"/>
    </xf>
    <xf numFmtId="0" fontId="8" fillId="0" borderId="1" xfId="0" applyFont="1" applyBorder="1" applyAlignment="1" applyProtection="1">
      <alignment horizontal="left" vertical="top" wrapText="1" readingOrder="1"/>
    </xf>
    <xf numFmtId="0" fontId="8" fillId="12" borderId="1" xfId="0" applyFont="1" applyFill="1" applyBorder="1" applyAlignment="1" applyProtection="1">
      <alignment shrinkToFit="1"/>
      <protection hidden="1"/>
    </xf>
    <xf numFmtId="0" fontId="8" fillId="7" borderId="1" xfId="0" applyFont="1" applyFill="1" applyBorder="1" applyAlignment="1" applyProtection="1">
      <alignment shrinkToFit="1"/>
    </xf>
    <xf numFmtId="0" fontId="24" fillId="7" borderId="1" xfId="0" applyFont="1" applyFill="1" applyBorder="1" applyAlignment="1" applyProtection="1">
      <alignment horizontal="center" vertical="top" wrapText="1"/>
    </xf>
    <xf numFmtId="0" fontId="14" fillId="7" borderId="1" xfId="0" applyFont="1" applyFill="1" applyBorder="1" applyAlignment="1" applyProtection="1">
      <alignment horizontal="center" vertical="top" wrapText="1"/>
    </xf>
    <xf numFmtId="49" fontId="1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protection hidden="1"/>
    </xf>
    <xf numFmtId="0" fontId="18" fillId="0" borderId="1" xfId="0" applyFont="1" applyBorder="1" applyAlignment="1" applyProtection="1">
      <alignment horizontal="justify" vertical="center"/>
      <protection hidden="1"/>
    </xf>
    <xf numFmtId="0" fontId="8" fillId="0" borderId="1" xfId="0" applyFont="1" applyBorder="1" applyAlignment="1" applyProtection="1">
      <alignment horizontal="justify" vertical="center"/>
      <protection hidden="1"/>
    </xf>
    <xf numFmtId="49" fontId="12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24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 shrinkToFit="1"/>
      <protection hidden="1"/>
    </xf>
    <xf numFmtId="0" fontId="8" fillId="3" borderId="1" xfId="0" applyFont="1" applyFill="1" applyBorder="1" applyAlignment="1" applyProtection="1">
      <alignment horizontal="center" vertical="center" wrapText="1" shrinkToFit="1"/>
      <protection hidden="1"/>
    </xf>
    <xf numFmtId="0" fontId="23" fillId="6" borderId="0" xfId="0" applyFont="1" applyFill="1" applyBorder="1" applyAlignment="1" applyProtection="1">
      <alignment horizontal="left" vertical="center" shrinkToFit="1"/>
      <protection hidden="1"/>
    </xf>
    <xf numFmtId="0" fontId="5" fillId="6" borderId="0" xfId="0" applyFont="1" applyFill="1" applyBorder="1" applyAlignment="1" applyProtection="1">
      <alignment horizontal="left" vertical="center" shrinkToFit="1"/>
      <protection hidden="1"/>
    </xf>
    <xf numFmtId="0" fontId="5" fillId="3" borderId="1" xfId="0" applyFont="1" applyFill="1" applyBorder="1" applyAlignment="1" applyProtection="1">
      <alignment horizontal="center" vertical="center" wrapText="1" shrinkToFit="1"/>
      <protection hidden="1"/>
    </xf>
    <xf numFmtId="0" fontId="18" fillId="3" borderId="1" xfId="0" applyFont="1" applyFill="1" applyBorder="1" applyAlignment="1" applyProtection="1">
      <alignment horizontal="center" vertical="center" wrapText="1" shrinkToFit="1"/>
      <protection hidden="1"/>
    </xf>
    <xf numFmtId="0" fontId="27" fillId="3" borderId="1" xfId="0" applyFont="1" applyFill="1" applyBorder="1" applyAlignment="1" applyProtection="1">
      <alignment horizontal="center" vertical="center" wrapText="1"/>
      <protection hidden="1"/>
    </xf>
    <xf numFmtId="0" fontId="28" fillId="3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left" vertical="top" wrapText="1"/>
    </xf>
    <xf numFmtId="0" fontId="2" fillId="3" borderId="12" xfId="0" applyFont="1" applyFill="1" applyBorder="1" applyAlignment="1" applyProtection="1">
      <alignment horizontal="center" vertical="center"/>
      <protection hidden="1"/>
    </xf>
    <xf numFmtId="0" fontId="2" fillId="3" borderId="6" xfId="0" applyFont="1" applyFill="1" applyBorder="1" applyAlignment="1" applyProtection="1">
      <alignment horizontal="center" vertical="center"/>
      <protection hidden="1"/>
    </xf>
    <xf numFmtId="0" fontId="2" fillId="3" borderId="13" xfId="0" applyFont="1" applyFill="1" applyBorder="1" applyAlignment="1" applyProtection="1">
      <alignment horizontal="center" vertical="center"/>
      <protection hidden="1"/>
    </xf>
    <xf numFmtId="0" fontId="2" fillId="3" borderId="14" xfId="0" applyFont="1" applyFill="1" applyBorder="1" applyAlignment="1" applyProtection="1">
      <alignment horizontal="center" vertical="center"/>
      <protection hidden="1"/>
    </xf>
    <xf numFmtId="0" fontId="2" fillId="3" borderId="10" xfId="0" applyFont="1" applyFill="1" applyBorder="1" applyAlignment="1" applyProtection="1">
      <alignment horizontal="center" vertical="center"/>
      <protection hidden="1"/>
    </xf>
    <xf numFmtId="0" fontId="2" fillId="3" borderId="15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vertical="center" wrapText="1"/>
      <protection hidden="1"/>
    </xf>
    <xf numFmtId="0" fontId="18" fillId="3" borderId="1" xfId="0" applyFont="1" applyFill="1" applyBorder="1" applyAlignment="1" applyProtection="1">
      <alignment horizontal="center" vertical="center"/>
      <protection hidden="1"/>
    </xf>
    <xf numFmtId="0" fontId="18" fillId="3" borderId="1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left" vertical="top" wrapText="1"/>
      <protection hidden="1"/>
    </xf>
    <xf numFmtId="0" fontId="8" fillId="0" borderId="1" xfId="0" applyFont="1" applyBorder="1" applyAlignment="1" applyProtection="1">
      <alignment vertical="top" wrapText="1"/>
      <protection hidden="1"/>
    </xf>
    <xf numFmtId="0" fontId="8" fillId="7" borderId="1" xfId="0" applyFont="1" applyFill="1" applyBorder="1" applyAlignment="1" applyProtection="1">
      <alignment vertical="top" wrapText="1"/>
    </xf>
    <xf numFmtId="0" fontId="0" fillId="0" borderId="1" xfId="0" applyBorder="1" applyAlignment="1"/>
    <xf numFmtId="0" fontId="2" fillId="3" borderId="1" xfId="0" applyFont="1" applyFill="1" applyBorder="1" applyAlignment="1" applyProtection="1">
      <alignment vertical="center" wrapText="1" shrinkToFit="1"/>
      <protection hidden="1"/>
    </xf>
    <xf numFmtId="0" fontId="21" fillId="3" borderId="0" xfId="0" applyFont="1" applyFill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protection hidden="1"/>
    </xf>
    <xf numFmtId="0" fontId="2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shrinkToFit="1"/>
      <protection hidden="1"/>
    </xf>
    <xf numFmtId="0" fontId="0" fillId="3" borderId="1" xfId="0" applyFill="1" applyBorder="1" applyAlignment="1">
      <alignment shrinkToFit="1"/>
    </xf>
    <xf numFmtId="0" fontId="0" fillId="0" borderId="1" xfId="0" applyBorder="1" applyAlignment="1">
      <alignment horizontal="left" vertical="top"/>
    </xf>
    <xf numFmtId="187" fontId="66" fillId="15" borderId="0" xfId="0" applyNumberFormat="1" applyFont="1" applyFill="1" applyAlignment="1" applyProtection="1">
      <alignment horizontal="center" vertical="center" shrinkToFit="1"/>
    </xf>
    <xf numFmtId="187" fontId="21" fillId="15" borderId="0" xfId="0" applyNumberFormat="1" applyFont="1" applyFill="1" applyAlignment="1" applyProtection="1"/>
    <xf numFmtId="0" fontId="0" fillId="8" borderId="1" xfId="0" applyFill="1" applyBorder="1" applyAlignment="1" applyProtection="1">
      <alignment shrinkToFit="1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21" fillId="11" borderId="1" xfId="0" applyFont="1" applyFill="1" applyBorder="1" applyAlignment="1" applyProtection="1">
      <alignment horizontal="center" vertical="center" shrinkToFit="1"/>
      <protection hidden="1"/>
    </xf>
    <xf numFmtId="0" fontId="8" fillId="11" borderId="1" xfId="0" applyFont="1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 applyProtection="1">
      <alignment horizontal="center" vertical="center"/>
      <protection hidden="1"/>
    </xf>
    <xf numFmtId="0" fontId="8" fillId="11" borderId="1" xfId="0" applyFont="1" applyFill="1" applyBorder="1" applyAlignment="1" applyProtection="1">
      <alignment horizontal="center" vertical="center" shrinkToFit="1"/>
      <protection hidden="1"/>
    </xf>
    <xf numFmtId="0" fontId="0" fillId="11" borderId="1" xfId="0" applyFill="1" applyBorder="1" applyAlignment="1" applyProtection="1">
      <alignment horizontal="center" vertical="center" shrinkToFit="1"/>
      <protection hidden="1"/>
    </xf>
    <xf numFmtId="0" fontId="24" fillId="3" borderId="1" xfId="0" applyFont="1" applyFill="1" applyBorder="1" applyAlignment="1" applyProtection="1">
      <alignment horizontal="center" vertical="center" wrapText="1"/>
      <protection hidden="1"/>
    </xf>
    <xf numFmtId="187" fontId="8" fillId="15" borderId="1" xfId="0" applyNumberFormat="1" applyFont="1" applyFill="1" applyBorder="1" applyAlignment="1" applyProtection="1">
      <alignment horizontal="left" vertical="center" shrinkToFit="1"/>
    </xf>
    <xf numFmtId="187" fontId="0" fillId="15" borderId="1" xfId="0" applyNumberFormat="1" applyFill="1" applyBorder="1" applyAlignment="1" applyProtection="1">
      <alignment horizontal="left" vertical="center" shrinkToFit="1"/>
    </xf>
    <xf numFmtId="2" fontId="2" fillId="18" borderId="0" xfId="0" applyNumberFormat="1" applyFont="1" applyFill="1" applyAlignment="1" applyProtection="1">
      <alignment horizontal="center" shrinkToFit="1"/>
      <protection hidden="1"/>
    </xf>
    <xf numFmtId="0" fontId="0" fillId="0" borderId="0" xfId="0" applyAlignment="1" applyProtection="1">
      <alignment shrinkToFit="1"/>
      <protection hidden="1"/>
    </xf>
    <xf numFmtId="0" fontId="2" fillId="16" borderId="0" xfId="0" applyFont="1" applyFill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11" borderId="1" xfId="0" applyFill="1" applyBorder="1" applyAlignment="1" applyProtection="1">
      <alignment horizontal="center" vertical="center" wrapText="1"/>
      <protection hidden="1"/>
    </xf>
    <xf numFmtId="0" fontId="0" fillId="11" borderId="1" xfId="0" applyFill="1" applyBorder="1" applyAlignment="1" applyProtection="1">
      <protection hidden="1"/>
    </xf>
    <xf numFmtId="0" fontId="3" fillId="11" borderId="1" xfId="0" applyFont="1" applyFill="1" applyBorder="1" applyAlignment="1" applyProtection="1">
      <alignment horizontal="center" vertical="center" wrapText="1"/>
      <protection hidden="1"/>
    </xf>
    <xf numFmtId="49" fontId="2" fillId="12" borderId="0" xfId="0" applyNumberFormat="1" applyFont="1" applyFill="1" applyAlignment="1" applyProtection="1">
      <alignment horizontal="left" shrinkToFit="1"/>
      <protection hidden="1"/>
    </xf>
    <xf numFmtId="2" fontId="2" fillId="18" borderId="0" xfId="0" applyNumberFormat="1" applyFont="1" applyFill="1" applyAlignment="1" applyProtection="1">
      <alignment horizontal="center" vertical="center" shrinkToFit="1"/>
      <protection hidden="1"/>
    </xf>
    <xf numFmtId="49" fontId="0" fillId="7" borderId="1" xfId="0" applyNumberFormat="1" applyFill="1" applyBorder="1" applyAlignment="1" applyProtection="1">
      <alignment shrinkToFit="1"/>
    </xf>
    <xf numFmtId="0" fontId="0" fillId="7" borderId="1" xfId="0" applyFill="1" applyBorder="1" applyAlignment="1" applyProtection="1">
      <alignment shrinkToFit="1"/>
    </xf>
    <xf numFmtId="0" fontId="0" fillId="0" borderId="0" xfId="0" applyAlignment="1" applyProtection="1">
      <alignment horizontal="center"/>
      <protection hidden="1"/>
    </xf>
    <xf numFmtId="0" fontId="2" fillId="16" borderId="0" xfId="0" applyFont="1" applyFill="1" applyAlignment="1" applyProtection="1">
      <alignment horizontal="center"/>
      <protection hidden="1"/>
    </xf>
    <xf numFmtId="0" fontId="0" fillId="16" borderId="0" xfId="0" applyFill="1" applyAlignment="1" applyProtection="1">
      <protection hidden="1"/>
    </xf>
    <xf numFmtId="0" fontId="2" fillId="16" borderId="0" xfId="0" applyFont="1" applyFill="1" applyAlignment="1" applyProtection="1">
      <alignment horizontal="center" shrinkToFit="1"/>
      <protection hidden="1"/>
    </xf>
    <xf numFmtId="0" fontId="0" fillId="16" borderId="0" xfId="0" applyFill="1" applyAlignment="1" applyProtection="1">
      <alignment shrinkToFit="1"/>
      <protection hidden="1"/>
    </xf>
    <xf numFmtId="2" fontId="2" fillId="8" borderId="0" xfId="0" applyNumberFormat="1" applyFont="1" applyFill="1" applyAlignment="1" applyProtection="1">
      <alignment horizontal="center" vertical="center" shrinkToFit="1"/>
      <protection hidden="1"/>
    </xf>
    <xf numFmtId="0" fontId="0" fillId="8" borderId="0" xfId="0" applyFill="1" applyAlignment="1" applyProtection="1">
      <alignment horizontal="center" vertical="center" shrinkToFit="1"/>
      <protection hidden="1"/>
    </xf>
    <xf numFmtId="0" fontId="0" fillId="16" borderId="0" xfId="0" applyFill="1" applyAlignment="1" applyProtection="1">
      <alignment horizontal="center" vertical="center" shrinkToFit="1"/>
      <protection hidden="1"/>
    </xf>
    <xf numFmtId="49" fontId="2" fillId="8" borderId="0" xfId="0" applyNumberFormat="1" applyFont="1" applyFill="1" applyAlignment="1" applyProtection="1">
      <alignment horizontal="center" vertical="center" shrinkToFit="1"/>
      <protection hidden="1"/>
    </xf>
    <xf numFmtId="0" fontId="2" fillId="8" borderId="0" xfId="0" applyFont="1" applyFill="1" applyAlignment="1" applyProtection="1">
      <alignment horizontal="center" vertical="center" shrinkToFit="1"/>
      <protection hidden="1"/>
    </xf>
    <xf numFmtId="0" fontId="8" fillId="15" borderId="1" xfId="0" applyFont="1" applyFill="1" applyBorder="1" applyAlignment="1" applyProtection="1">
      <alignment horizontal="left" vertical="top"/>
    </xf>
    <xf numFmtId="0" fontId="0" fillId="15" borderId="1" xfId="0" applyFill="1" applyBorder="1" applyAlignment="1"/>
    <xf numFmtId="0" fontId="18" fillId="15" borderId="1" xfId="0" applyFont="1" applyFill="1" applyBorder="1" applyAlignment="1" applyProtection="1">
      <alignment horizontal="left" vertical="top"/>
    </xf>
    <xf numFmtId="0" fontId="18" fillId="15" borderId="1" xfId="0" applyFont="1" applyFill="1" applyBorder="1" applyAlignment="1" applyProtection="1">
      <alignment horizontal="left" vertical="top" wrapText="1"/>
    </xf>
    <xf numFmtId="0" fontId="2" fillId="3" borderId="1" xfId="3" applyFont="1" applyFill="1" applyBorder="1" applyAlignment="1" applyProtection="1">
      <alignment horizontal="center" shrinkToFit="1"/>
      <protection hidden="1"/>
    </xf>
    <xf numFmtId="0" fontId="0" fillId="0" borderId="1" xfId="0" applyBorder="1" applyAlignment="1">
      <alignment shrinkToFit="1"/>
    </xf>
    <xf numFmtId="0" fontId="8" fillId="9" borderId="1" xfId="3" applyFont="1" applyFill="1" applyBorder="1" applyAlignment="1" applyProtection="1">
      <alignment horizontal="left" vertical="center"/>
      <protection hidden="1"/>
    </xf>
    <xf numFmtId="0" fontId="8" fillId="9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/>
    <xf numFmtId="0" fontId="80" fillId="3" borderId="1" xfId="0" applyFont="1" applyFill="1" applyBorder="1" applyAlignment="1" applyProtection="1">
      <alignment horizontal="center" vertical="center" shrinkToFit="1"/>
      <protection hidden="1"/>
    </xf>
    <xf numFmtId="0" fontId="80" fillId="3" borderId="1" xfId="0" applyFont="1" applyFill="1" applyBorder="1" applyAlignment="1">
      <alignment horizontal="center" vertical="center" shrinkToFit="1"/>
    </xf>
    <xf numFmtId="0" fontId="8" fillId="9" borderId="1" xfId="0" applyFont="1" applyFill="1" applyBorder="1" applyAlignment="1" applyProtection="1">
      <alignment shrinkToFit="1"/>
      <protection hidden="1"/>
    </xf>
    <xf numFmtId="0" fontId="8" fillId="9" borderId="1" xfId="0" applyFont="1" applyFill="1" applyBorder="1" applyAlignment="1">
      <alignment shrinkToFit="1"/>
    </xf>
    <xf numFmtId="0" fontId="8" fillId="16" borderId="1" xfId="0" applyFont="1" applyFill="1" applyBorder="1" applyAlignment="1" applyProtection="1">
      <alignment shrinkToFit="1"/>
      <protection hidden="1"/>
    </xf>
    <xf numFmtId="0" fontId="8" fillId="16" borderId="1" xfId="0" applyFont="1" applyFill="1" applyBorder="1" applyAlignment="1">
      <alignment shrinkToFit="1"/>
    </xf>
    <xf numFmtId="0" fontId="8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wrapText="1"/>
      <protection hidden="1"/>
    </xf>
    <xf numFmtId="0" fontId="8" fillId="0" borderId="1" xfId="0" applyFont="1" applyBorder="1" applyAlignment="1" applyProtection="1">
      <alignment horizontal="left" wrapText="1"/>
      <protection hidden="1"/>
    </xf>
    <xf numFmtId="0" fontId="8" fillId="0" borderId="0" xfId="0" applyFont="1" applyAlignment="1" applyProtection="1">
      <alignment wrapText="1"/>
      <protection hidden="1"/>
    </xf>
    <xf numFmtId="0" fontId="0" fillId="0" borderId="1" xfId="0" applyBorder="1" applyAlignment="1" applyProtection="1">
      <alignment horizontal="left" vertical="top" wrapText="1"/>
    </xf>
    <xf numFmtId="0" fontId="0" fillId="0" borderId="1" xfId="0" applyBorder="1" applyAlignment="1" applyProtection="1"/>
    <xf numFmtId="0" fontId="8" fillId="0" borderId="1" xfId="0" applyFont="1" applyBorder="1" applyAlignment="1" applyProtection="1">
      <alignment horizontal="center"/>
      <protection hidden="1"/>
    </xf>
    <xf numFmtId="0" fontId="19" fillId="10" borderId="0" xfId="0" applyFont="1" applyFill="1" applyAlignment="1">
      <alignment shrinkToFit="1"/>
    </xf>
    <xf numFmtId="0" fontId="63" fillId="10" borderId="0" xfId="3" applyFont="1" applyFill="1" applyAlignment="1" applyProtection="1">
      <alignment shrinkToFit="1"/>
      <protection hidden="1"/>
    </xf>
    <xf numFmtId="190" fontId="48" fillId="8" borderId="2" xfId="3" applyNumberFormat="1" applyFont="1" applyFill="1" applyBorder="1" applyAlignment="1" applyProtection="1">
      <alignment horizontal="center" vertical="center"/>
      <protection hidden="1"/>
    </xf>
    <xf numFmtId="190" fontId="48" fillId="8" borderId="4" xfId="3" applyNumberFormat="1" applyFont="1" applyFill="1" applyBorder="1" applyAlignment="1" applyProtection="1">
      <alignment horizontal="center" vertical="center"/>
      <protection hidden="1"/>
    </xf>
    <xf numFmtId="0" fontId="48" fillId="8" borderId="2" xfId="3" applyFont="1" applyFill="1" applyBorder="1" applyAlignment="1" applyProtection="1">
      <alignment horizontal="center" vertical="center"/>
      <protection hidden="1"/>
    </xf>
    <xf numFmtId="0" fontId="48" fillId="8" borderId="4" xfId="3" applyFont="1" applyFill="1" applyBorder="1" applyAlignment="1" applyProtection="1">
      <alignment horizontal="center" vertical="center"/>
      <protection hidden="1"/>
    </xf>
    <xf numFmtId="1" fontId="48" fillId="8" borderId="7" xfId="3" applyNumberFormat="1" applyFont="1" applyFill="1" applyBorder="1" applyAlignment="1">
      <alignment horizontal="center" vertical="center"/>
    </xf>
    <xf numFmtId="1" fontId="48" fillId="8" borderId="8" xfId="3" applyNumberFormat="1" applyFont="1" applyFill="1" applyBorder="1" applyAlignment="1">
      <alignment horizontal="center" vertical="center"/>
    </xf>
    <xf numFmtId="0" fontId="8" fillId="10" borderId="0" xfId="3" applyFont="1" applyFill="1" applyAlignment="1">
      <alignment shrinkToFit="1"/>
    </xf>
    <xf numFmtId="0" fontId="58" fillId="0" borderId="0" xfId="3" applyFont="1" applyAlignment="1" applyProtection="1">
      <alignment horizontal="center" vertical="center" shrinkToFit="1"/>
      <protection hidden="1"/>
    </xf>
    <xf numFmtId="0" fontId="59" fillId="0" borderId="0" xfId="3" applyFont="1" applyAlignment="1" applyProtection="1">
      <alignment horizontal="center" shrinkToFit="1"/>
      <protection hidden="1"/>
    </xf>
    <xf numFmtId="0" fontId="60" fillId="0" borderId="0" xfId="0" applyFont="1" applyAlignment="1" applyProtection="1">
      <alignment horizontal="center" shrinkToFit="1"/>
      <protection hidden="1"/>
    </xf>
    <xf numFmtId="0" fontId="52" fillId="9" borderId="0" xfId="3" applyFont="1" applyFill="1" applyBorder="1" applyAlignment="1" applyProtection="1">
      <alignment vertical="center" shrinkToFit="1"/>
      <protection hidden="1"/>
    </xf>
    <xf numFmtId="0" fontId="0" fillId="0" borderId="0" xfId="0" applyAlignment="1">
      <alignment vertical="center" shrinkToFit="1"/>
    </xf>
    <xf numFmtId="0" fontId="40" fillId="0" borderId="6" xfId="3" applyFont="1" applyBorder="1" applyAlignment="1" applyProtection="1">
      <alignment horizontal="center" vertical="top"/>
      <protection hidden="1"/>
    </xf>
    <xf numFmtId="0" fontId="40" fillId="0" borderId="10" xfId="3" applyFont="1" applyBorder="1" applyAlignment="1" applyProtection="1">
      <alignment horizontal="center"/>
      <protection hidden="1"/>
    </xf>
    <xf numFmtId="0" fontId="40" fillId="0" borderId="13" xfId="3" applyFont="1" applyBorder="1" applyAlignment="1" applyProtection="1">
      <alignment wrapText="1"/>
      <protection hidden="1"/>
    </xf>
    <xf numFmtId="0" fontId="40" fillId="0" borderId="15" xfId="3" applyFont="1" applyBorder="1" applyAlignment="1" applyProtection="1">
      <protection hidden="1"/>
    </xf>
    <xf numFmtId="0" fontId="48" fillId="0" borderId="2" xfId="3" applyFont="1" applyBorder="1" applyAlignment="1" applyProtection="1">
      <alignment horizontal="center" vertical="center"/>
      <protection hidden="1"/>
    </xf>
    <xf numFmtId="0" fontId="48" fillId="0" borderId="4" xfId="3" applyFont="1" applyBorder="1" applyAlignment="1" applyProtection="1">
      <protection hidden="1"/>
    </xf>
    <xf numFmtId="2" fontId="55" fillId="15" borderId="2" xfId="3" applyNumberFormat="1" applyFont="1" applyFill="1" applyBorder="1" applyAlignment="1">
      <alignment horizontal="center" vertical="center"/>
    </xf>
    <xf numFmtId="2" fontId="55" fillId="15" borderId="4" xfId="3" applyNumberFormat="1" applyFont="1" applyFill="1" applyBorder="1" applyAlignment="1">
      <alignment horizontal="center" vertical="center"/>
    </xf>
    <xf numFmtId="2" fontId="48" fillId="8" borderId="2" xfId="3" applyNumberFormat="1" applyFont="1" applyFill="1" applyBorder="1" applyAlignment="1" applyProtection="1">
      <alignment horizontal="center" vertical="center"/>
      <protection hidden="1"/>
    </xf>
    <xf numFmtId="2" fontId="48" fillId="8" borderId="4" xfId="3" applyNumberFormat="1" applyFont="1" applyFill="1" applyBorder="1" applyAlignment="1" applyProtection="1">
      <alignment horizontal="center" vertical="center"/>
      <protection hidden="1"/>
    </xf>
    <xf numFmtId="0" fontId="41" fillId="3" borderId="7" xfId="3" applyFont="1" applyFill="1" applyBorder="1" applyAlignment="1" applyProtection="1">
      <alignment shrinkToFit="1"/>
      <protection hidden="1"/>
    </xf>
    <xf numFmtId="0" fontId="57" fillId="3" borderId="9" xfId="3" applyFont="1" applyFill="1" applyBorder="1" applyAlignment="1"/>
    <xf numFmtId="0" fontId="41" fillId="3" borderId="1" xfId="3" applyFont="1" applyFill="1" applyBorder="1" applyAlignment="1" applyProtection="1">
      <protection hidden="1"/>
    </xf>
    <xf numFmtId="0" fontId="57" fillId="3" borderId="1" xfId="3" applyFont="1" applyFill="1" applyBorder="1" applyAlignment="1"/>
    <xf numFmtId="0" fontId="40" fillId="0" borderId="6" xfId="3" applyFont="1" applyBorder="1" applyAlignment="1" applyProtection="1">
      <alignment vertical="top"/>
      <protection hidden="1"/>
    </xf>
    <xf numFmtId="0" fontId="40" fillId="0" borderId="10" xfId="3" applyFont="1" applyBorder="1" applyAlignment="1" applyProtection="1">
      <alignment vertical="top"/>
      <protection hidden="1"/>
    </xf>
    <xf numFmtId="0" fontId="56" fillId="0" borderId="13" xfId="3" applyFont="1" applyBorder="1" applyAlignment="1" applyProtection="1">
      <alignment horizontal="left" vertical="center" wrapText="1"/>
      <protection hidden="1"/>
    </xf>
    <xf numFmtId="0" fontId="56" fillId="0" borderId="15" xfId="3" applyFont="1" applyBorder="1" applyAlignment="1" applyProtection="1">
      <alignment horizontal="left" vertical="center"/>
      <protection hidden="1"/>
    </xf>
    <xf numFmtId="0" fontId="48" fillId="0" borderId="4" xfId="3" applyFont="1" applyBorder="1" applyAlignment="1" applyProtection="1">
      <alignment horizontal="center" vertical="center"/>
      <protection hidden="1"/>
    </xf>
    <xf numFmtId="2" fontId="48" fillId="15" borderId="2" xfId="3" applyNumberFormat="1" applyFont="1" applyFill="1" applyBorder="1" applyAlignment="1">
      <alignment horizontal="center" vertical="center"/>
    </xf>
    <xf numFmtId="2" fontId="48" fillId="15" borderId="4" xfId="3" applyNumberFormat="1" applyFont="1" applyFill="1" applyBorder="1" applyAlignment="1">
      <alignment horizontal="center" vertical="center"/>
    </xf>
    <xf numFmtId="2" fontId="48" fillId="8" borderId="7" xfId="3" applyNumberFormat="1" applyFont="1" applyFill="1" applyBorder="1" applyAlignment="1" applyProtection="1">
      <alignment horizontal="center" vertical="center"/>
      <protection hidden="1"/>
    </xf>
    <xf numFmtId="2" fontId="29" fillId="8" borderId="8" xfId="3" applyNumberFormat="1" applyFont="1" applyFill="1" applyBorder="1" applyAlignment="1" applyProtection="1">
      <alignment horizontal="center" vertical="center"/>
      <protection hidden="1"/>
    </xf>
    <xf numFmtId="0" fontId="40" fillId="0" borderId="12" xfId="3" applyFont="1" applyBorder="1" applyAlignment="1">
      <alignment horizontal="center" vertical="top"/>
    </xf>
    <xf numFmtId="0" fontId="40" fillId="0" borderId="14" xfId="3" applyFont="1" applyBorder="1" applyAlignment="1">
      <alignment horizontal="center" vertical="top"/>
    </xf>
    <xf numFmtId="0" fontId="40" fillId="0" borderId="13" xfId="3" applyFont="1" applyBorder="1" applyAlignment="1" applyProtection="1">
      <alignment vertical="top" wrapText="1"/>
      <protection hidden="1"/>
    </xf>
    <xf numFmtId="0" fontId="40" fillId="0" borderId="15" xfId="3" applyFont="1" applyBorder="1" applyAlignment="1" applyProtection="1">
      <alignment vertical="top" wrapText="1"/>
      <protection hidden="1"/>
    </xf>
    <xf numFmtId="0" fontId="49" fillId="8" borderId="0" xfId="3" applyFont="1" applyFill="1" applyBorder="1" applyAlignment="1" applyProtection="1">
      <alignment horizontal="left" vertical="top" shrinkToFit="1"/>
      <protection hidden="1"/>
    </xf>
    <xf numFmtId="0" fontId="0" fillId="0" borderId="0" xfId="0" applyAlignment="1">
      <alignment vertical="top" shrinkToFit="1"/>
    </xf>
    <xf numFmtId="0" fontId="49" fillId="15" borderId="0" xfId="3" applyFont="1" applyFill="1" applyBorder="1" applyAlignment="1" applyProtection="1">
      <alignment horizontal="left" vertical="center" shrinkToFit="1"/>
      <protection hidden="1"/>
    </xf>
    <xf numFmtId="0" fontId="0" fillId="0" borderId="0" xfId="0" applyAlignment="1">
      <alignment horizontal="left" vertical="center" shrinkToFit="1"/>
    </xf>
    <xf numFmtId="2" fontId="41" fillId="25" borderId="7" xfId="3" applyNumberFormat="1" applyFont="1" applyFill="1" applyBorder="1" applyAlignment="1" applyProtection="1">
      <alignment horizontal="center"/>
      <protection hidden="1"/>
    </xf>
    <xf numFmtId="2" fontId="41" fillId="25" borderId="8" xfId="3" applyNumberFormat="1" applyFont="1" applyFill="1" applyBorder="1" applyAlignment="1" applyProtection="1">
      <alignment horizontal="center"/>
      <protection hidden="1"/>
    </xf>
    <xf numFmtId="1" fontId="41" fillId="3" borderId="7" xfId="3" applyNumberFormat="1" applyFont="1" applyFill="1" applyBorder="1" applyAlignment="1" applyProtection="1">
      <alignment horizontal="center" vertical="center"/>
      <protection hidden="1"/>
    </xf>
    <xf numFmtId="0" fontId="53" fillId="0" borderId="8" xfId="3" applyFont="1" applyBorder="1" applyAlignment="1">
      <alignment horizontal="center" vertical="center"/>
    </xf>
    <xf numFmtId="2" fontId="48" fillId="8" borderId="7" xfId="3" applyNumberFormat="1" applyFont="1" applyFill="1" applyBorder="1" applyAlignment="1">
      <alignment horizontal="center" vertical="center"/>
    </xf>
    <xf numFmtId="2" fontId="48" fillId="8" borderId="8" xfId="3" applyNumberFormat="1" applyFont="1" applyFill="1" applyBorder="1" applyAlignment="1">
      <alignment horizontal="center" vertical="center"/>
    </xf>
    <xf numFmtId="0" fontId="44" fillId="3" borderId="12" xfId="3" applyFont="1" applyFill="1" applyBorder="1" applyAlignment="1" applyProtection="1">
      <alignment horizontal="left" vertical="top" wrapText="1"/>
      <protection hidden="1"/>
    </xf>
    <xf numFmtId="0" fontId="44" fillId="3" borderId="6" xfId="3" applyFont="1" applyFill="1" applyBorder="1" applyAlignment="1" applyProtection="1">
      <alignment horizontal="left" vertical="top" wrapText="1"/>
      <protection hidden="1"/>
    </xf>
    <xf numFmtId="0" fontId="44" fillId="3" borderId="13" xfId="3" applyFont="1" applyFill="1" applyBorder="1" applyAlignment="1" applyProtection="1">
      <alignment horizontal="left" vertical="top" wrapText="1"/>
      <protection hidden="1"/>
    </xf>
    <xf numFmtId="0" fontId="45" fillId="24" borderId="1" xfId="3" applyFont="1" applyFill="1" applyBorder="1" applyAlignment="1" applyProtection="1">
      <alignment horizontal="center" vertical="center"/>
      <protection hidden="1"/>
    </xf>
    <xf numFmtId="0" fontId="46" fillId="24" borderId="1" xfId="3" applyFont="1" applyFill="1" applyBorder="1" applyAlignment="1" applyProtection="1">
      <protection hidden="1"/>
    </xf>
    <xf numFmtId="0" fontId="47" fillId="24" borderId="1" xfId="3" applyFont="1" applyFill="1" applyBorder="1" applyAlignment="1" applyProtection="1">
      <alignment horizontal="center" vertical="center"/>
      <protection hidden="1"/>
    </xf>
    <xf numFmtId="0" fontId="47" fillId="24" borderId="1" xfId="3" applyFont="1" applyFill="1" applyBorder="1" applyAlignment="1" applyProtection="1">
      <alignment vertical="center"/>
      <protection hidden="1"/>
    </xf>
    <xf numFmtId="0" fontId="48" fillId="24" borderId="2" xfId="3" applyFont="1" applyFill="1" applyBorder="1" applyAlignment="1" applyProtection="1">
      <alignment horizontal="center" vertical="center" wrapText="1"/>
      <protection hidden="1"/>
    </xf>
    <xf numFmtId="0" fontId="48" fillId="24" borderId="3" xfId="3" applyFont="1" applyFill="1" applyBorder="1" applyAlignment="1" applyProtection="1">
      <alignment horizontal="center" vertical="center"/>
      <protection hidden="1"/>
    </xf>
    <xf numFmtId="0" fontId="48" fillId="24" borderId="4" xfId="3" applyFont="1" applyFill="1" applyBorder="1" applyAlignment="1" applyProtection="1">
      <alignment horizontal="center" vertical="center"/>
      <protection hidden="1"/>
    </xf>
    <xf numFmtId="0" fontId="48" fillId="24" borderId="7" xfId="3" applyFont="1" applyFill="1" applyBorder="1" applyAlignment="1" applyProtection="1">
      <alignment horizontal="center" vertical="center" shrinkToFit="1"/>
      <protection hidden="1"/>
    </xf>
    <xf numFmtId="0" fontId="48" fillId="24" borderId="8" xfId="3" applyFont="1" applyFill="1" applyBorder="1" applyAlignment="1" applyProtection="1">
      <alignment horizontal="center" vertical="center" shrinkToFit="1"/>
      <protection hidden="1"/>
    </xf>
    <xf numFmtId="0" fontId="48" fillId="24" borderId="3" xfId="3" applyFont="1" applyFill="1" applyBorder="1" applyAlignment="1" applyProtection="1">
      <alignment horizontal="center" vertical="center" wrapText="1"/>
      <protection hidden="1"/>
    </xf>
    <xf numFmtId="0" fontId="48" fillId="24" borderId="4" xfId="3" applyFont="1" applyFill="1" applyBorder="1" applyAlignment="1" applyProtection="1">
      <alignment horizontal="center" vertical="center" wrapText="1"/>
      <protection hidden="1"/>
    </xf>
    <xf numFmtId="0" fontId="48" fillId="24" borderId="2" xfId="3" applyFont="1" applyFill="1" applyBorder="1" applyAlignment="1" applyProtection="1">
      <alignment horizontal="center" vertical="center"/>
      <protection hidden="1"/>
    </xf>
    <xf numFmtId="0" fontId="46" fillId="24" borderId="3" xfId="3" applyFont="1" applyFill="1" applyBorder="1" applyAlignment="1" applyProtection="1">
      <alignment vertical="center"/>
      <protection hidden="1"/>
    </xf>
  </cellXfs>
  <cellStyles count="7">
    <cellStyle name="Comma 2" xfId="4"/>
    <cellStyle name="Normal 2" xfId="3"/>
    <cellStyle name="Normal 5" xfId="5"/>
    <cellStyle name="Normal 6" xfId="6"/>
    <cellStyle name="เครื่องหมายจุลภาค" xfId="2" builtinId="3"/>
    <cellStyle name="ปกติ" xfId="0" builtinId="0"/>
    <cellStyle name="ปกติ 3 2" xfId="1"/>
  </cellStyles>
  <dxfs count="0"/>
  <tableStyles count="0" defaultTableStyle="TableStyleMedium9" defaultPivotStyle="PivotStyleLight16"/>
  <colors>
    <mruColors>
      <color rgb="FFFFFFCC"/>
      <color rgb="FFFFFF99"/>
      <color rgb="FFFFCCFF"/>
      <color rgb="FF000099"/>
      <color rgb="FFFF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 rot="0" spcFirstLastPara="1" vertOverflow="ellipsis" vert="horz" wrap="square" anchor="ctr" anchorCtr="1"/>
          <a:lstStyle/>
          <a:p>
            <a:pPr>
              <a:defRPr lang="th-TH" sz="1800" b="1" i="0" u="none" strike="noStrike" kern="1200" spc="0" baseline="0">
                <a:solidFill>
                  <a:schemeClr val="tx1"/>
                </a:solidFill>
                <a:latin typeface="AngsanaUPC" pitchFamily="18" charset="-34"/>
                <a:ea typeface="+mn-ea"/>
                <a:cs typeface="AngsanaUPC" pitchFamily="18" charset="-34"/>
              </a:defRPr>
            </a:pPr>
            <a:r>
              <a:rPr lang="th-TH" sz="1800" b="1">
                <a:solidFill>
                  <a:schemeClr val="tx1"/>
                </a:solidFill>
                <a:latin typeface="AngsanaUPC" pitchFamily="18" charset="-34"/>
                <a:cs typeface="AngsanaUPC" pitchFamily="18" charset="-34"/>
              </a:rPr>
              <a:t>อัตราการคงอยู่</a:t>
            </a:r>
          </a:p>
        </c:rich>
      </c:tx>
      <c:layout>
        <c:manualLayout>
          <c:xMode val="edge"/>
          <c:yMode val="edge"/>
          <c:x val="0.36559974791714639"/>
          <c:y val="2.6890827766765012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7883081342826571"/>
          <c:y val="0.2182617291936742"/>
          <c:w val="0.76237654537350263"/>
          <c:h val="0.61501169854531279"/>
        </c:manualLayout>
      </c:layout>
      <c:lineChart>
        <c:grouping val="standard"/>
        <c:ser>
          <c:idx val="0"/>
          <c:order val="0"/>
          <c:spPr>
            <a:ln w="2857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99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5.4232613171520359E-3"/>
                  <c:y val="0.1465451504542684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th-TH" sz="1800" b="1" i="0" u="none" strike="noStrike" kern="1200" baseline="0">
                      <a:solidFill>
                        <a:srgbClr val="FF0000"/>
                      </a:solidFill>
                      <a:latin typeface="AngsanaUPC" pitchFamily="18" charset="-34"/>
                      <a:ea typeface="+mn-ea"/>
                      <a:cs typeface="AngsanaUPC" pitchFamily="18" charset="-34"/>
                    </a:defRPr>
                  </a:pPr>
                  <a:endParaRPr lang="th-TH"/>
                </a:p>
              </c:txPr>
            </c:trendlineLbl>
          </c:trendline>
          <c:cat>
            <c:numRef>
              <c:f>'3.3-4ปี'!$A$6:$A$9</c:f>
              <c:numCache>
                <c:formatCode>General</c:formatCode>
                <c:ptCount val="4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</c:numCache>
            </c:numRef>
          </c:cat>
          <c:val>
            <c:numRef>
              <c:f>'3.3-4ปี'!$M$6:$M$9</c:f>
              <c:numCache>
                <c:formatCode>0.00</c:formatCode>
                <c:ptCount val="4"/>
                <c:pt idx="0">
                  <c:v>84.615384615384613</c:v>
                </c:pt>
                <c:pt idx="1">
                  <c:v>100</c:v>
                </c:pt>
                <c:pt idx="2">
                  <c:v>92.307692307692307</c:v>
                </c:pt>
                <c:pt idx="3">
                  <c:v>88.461538461538453</c:v>
                </c:pt>
              </c:numCache>
            </c:numRef>
          </c:val>
        </c:ser>
        <c:dLbls/>
        <c:marker val="1"/>
        <c:axId val="56961664"/>
        <c:axId val="56975744"/>
      </c:lineChart>
      <c:catAx>
        <c:axId val="569616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56975744"/>
        <c:crosses val="autoZero"/>
        <c:auto val="1"/>
        <c:lblAlgn val="ctr"/>
        <c:lblOffset val="100"/>
      </c:catAx>
      <c:valAx>
        <c:axId val="569757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5696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rgbClr val="0033CC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805774278215223"/>
          <c:y val="0.25627004839643974"/>
          <c:w val="0.79826439004912597"/>
          <c:h val="0.45121455563097634"/>
        </c:manualLayout>
      </c:layout>
      <c:lineChart>
        <c:grouping val="standard"/>
        <c:ser>
          <c:idx val="0"/>
          <c:order val="0"/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linear"/>
            <c:dispRSqr val="1"/>
            <c:dispEq val="1"/>
            <c:trendlineLbl>
              <c:layout>
                <c:manualLayout>
                  <c:x val="1.7150562444974652E-2"/>
                  <c:y val="0.1700458640886299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lang="th-TH" sz="800">
                      <a:solidFill>
                        <a:srgbClr val="FF0000"/>
                      </a:solidFill>
                    </a:defRPr>
                  </a:pPr>
                  <a:endParaRPr lang="th-TH"/>
                </a:p>
              </c:txPr>
            </c:trendlineLbl>
          </c:trendline>
          <c:cat>
            <c:numRef>
              <c:f>'3.3-5ปี'!$A$6:$A$9</c:f>
              <c:numCache>
                <c:formatCode>General</c:formatCode>
                <c:ptCount val="4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  <c:pt idx="3">
                  <c:v>2556</c:v>
                </c:pt>
              </c:numCache>
            </c:numRef>
          </c:cat>
          <c:val>
            <c:numRef>
              <c:f>'3.3-5ปี'!$N$6:$N$9</c:f>
              <c:numCache>
                <c:formatCode>0.00</c:formatCode>
                <c:ptCount val="4"/>
                <c:pt idx="0">
                  <c:v>84.375</c:v>
                </c:pt>
                <c:pt idx="1">
                  <c:v>61.702127659574465</c:v>
                </c:pt>
                <c:pt idx="2">
                  <c:v>76.923076923076934</c:v>
                </c:pt>
                <c:pt idx="3">
                  <c:v>71.428571428571431</c:v>
                </c:pt>
              </c:numCache>
            </c:numRef>
          </c:val>
        </c:ser>
        <c:dLbls/>
        <c:marker val="1"/>
        <c:axId val="59339520"/>
        <c:axId val="59341056"/>
      </c:lineChart>
      <c:catAx>
        <c:axId val="5933952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th-TH" sz="1400">
                <a:latin typeface="Angsana New" pitchFamily="18" charset="-34"/>
                <a:cs typeface="Angsana New" pitchFamily="18" charset="-34"/>
              </a:defRPr>
            </a:pPr>
            <a:endParaRPr lang="th-TH"/>
          </a:p>
        </c:txPr>
        <c:crossAx val="59341056"/>
        <c:crosses val="autoZero"/>
        <c:auto val="1"/>
        <c:lblAlgn val="ctr"/>
        <c:lblOffset val="100"/>
      </c:catAx>
      <c:valAx>
        <c:axId val="59341056"/>
        <c:scaling>
          <c:orientation val="minMax"/>
        </c:scaling>
        <c:axPos val="l"/>
        <c:majorGridlines>
          <c:spPr>
            <a:ln>
              <a:solidFill>
                <a:schemeClr val="bg2">
                  <a:lumMod val="90000"/>
                </a:schemeClr>
              </a:solidFill>
            </a:ln>
          </c:spPr>
        </c:majorGridlines>
        <c:numFmt formatCode="0.00" sourceLinked="1"/>
        <c:tickLblPos val="nextTo"/>
        <c:txPr>
          <a:bodyPr/>
          <a:lstStyle/>
          <a:p>
            <a:pPr>
              <a:defRPr lang="th-TH" sz="800"/>
            </a:pPr>
            <a:endParaRPr lang="th-TH"/>
          </a:p>
        </c:txPr>
        <c:crossAx val="5933952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1875397853749296"/>
          <c:y val="0.22702357079026428"/>
          <c:w val="0.81604490724997303"/>
          <c:h val="0.55075425716044391"/>
        </c:manualLayout>
      </c:layout>
      <c:lineChart>
        <c:grouping val="standard"/>
        <c:ser>
          <c:idx val="0"/>
          <c:order val="0"/>
          <c:trendline>
            <c:spPr>
              <a:ln>
                <a:solidFill>
                  <a:srgbClr val="FF0000"/>
                </a:solidFill>
                <a:prstDash val="sysDash"/>
              </a:ln>
            </c:spPr>
            <c:trendlineType val="linear"/>
            <c:dispRSqr val="1"/>
            <c:dispEq val="1"/>
            <c:trendlineLbl>
              <c:layout>
                <c:manualLayout>
                  <c:x val="9.7436007618958181E-2"/>
                  <c:y val="0.23914918026259538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lang="th-TH" sz="800">
                      <a:solidFill>
                        <a:srgbClr val="FF0000"/>
                      </a:solidFill>
                    </a:defRPr>
                  </a:pPr>
                  <a:endParaRPr lang="th-TH"/>
                </a:p>
              </c:txPr>
            </c:trendlineLbl>
          </c:trendline>
          <c:cat>
            <c:numRef>
              <c:f>'3.3-5ปี'!$B$15:$D$15</c:f>
              <c:numCache>
                <c:formatCode>General</c:formatCode>
                <c:ptCount val="3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</c:numCache>
            </c:numRef>
          </c:cat>
          <c:val>
            <c:numRef>
              <c:f>'3.3-5ปี'!$B$16:$D$16</c:f>
              <c:numCache>
                <c:formatCode>0.00</c:formatCode>
                <c:ptCount val="3"/>
                <c:pt idx="0">
                  <c:v>3.2</c:v>
                </c:pt>
                <c:pt idx="1">
                  <c:v>3.8</c:v>
                </c:pt>
                <c:pt idx="2">
                  <c:v>4.0199999999999996</c:v>
                </c:pt>
              </c:numCache>
            </c:numRef>
          </c:val>
        </c:ser>
        <c:dLbls/>
        <c:marker val="1"/>
        <c:axId val="59373824"/>
        <c:axId val="70766592"/>
      </c:lineChart>
      <c:catAx>
        <c:axId val="5937382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th-TH" sz="800"/>
            </a:pPr>
            <a:endParaRPr lang="th-TH"/>
          </a:p>
        </c:txPr>
        <c:crossAx val="70766592"/>
        <c:crosses val="autoZero"/>
        <c:auto val="1"/>
        <c:lblAlgn val="ctr"/>
        <c:lblOffset val="100"/>
      </c:catAx>
      <c:valAx>
        <c:axId val="70766592"/>
        <c:scaling>
          <c:orientation val="minMax"/>
        </c:scaling>
        <c:axPos val="l"/>
        <c:majorGridlines>
          <c:spPr>
            <a:ln>
              <a:solidFill>
                <a:schemeClr val="bg2">
                  <a:lumMod val="90000"/>
                </a:schemeClr>
              </a:solidFill>
            </a:ln>
          </c:spPr>
        </c:majorGridlines>
        <c:numFmt formatCode="0.00" sourceLinked="1"/>
        <c:tickLblPos val="nextTo"/>
        <c:txPr>
          <a:bodyPr/>
          <a:lstStyle/>
          <a:p>
            <a:pPr>
              <a:defRPr lang="th-TH" sz="800"/>
            </a:pPr>
            <a:endParaRPr lang="th-TH"/>
          </a:p>
        </c:txPr>
        <c:crossAx val="59373824"/>
        <c:crosses val="autoZero"/>
        <c:crossBetween val="between"/>
      </c:valAx>
      <c:spPr>
        <a:ln>
          <a:solidFill>
            <a:schemeClr val="bg2">
              <a:lumMod val="90000"/>
            </a:schemeClr>
          </a:solidFill>
        </a:ln>
      </c:spPr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 rot="0" spcFirstLastPara="1" vertOverflow="ellipsis" vert="horz" wrap="square" anchor="ctr" anchorCtr="1"/>
          <a:lstStyle/>
          <a:p>
            <a:pPr>
              <a:defRPr lang="th-TH" sz="1200" b="1" i="0" u="none" strike="noStrike" kern="1200" spc="0" baseline="0">
                <a:solidFill>
                  <a:srgbClr val="000099"/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r>
              <a:rPr lang="th-TH" sz="1200" b="1">
                <a:solidFill>
                  <a:srgbClr val="000099"/>
                </a:solidFill>
              </a:rPr>
              <a:t>1. การรับและแต่งตั้งอาจารย์ประจำหลักสูตร</a:t>
            </a:r>
          </a:p>
        </c:rich>
      </c:tx>
      <c:layout>
        <c:manualLayout>
          <c:xMode val="edge"/>
          <c:yMode val="edge"/>
          <c:x val="0.14379705425141459"/>
          <c:y val="1.0603521864861779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4789834501758481"/>
          <c:y val="0.24539528971434632"/>
          <c:w val="0.75538101526181145"/>
          <c:h val="0.5169149757421202"/>
        </c:manualLayout>
      </c:layout>
      <c:lineChart>
        <c:grouping val="standard"/>
        <c:ser>
          <c:idx val="0"/>
          <c:order val="0"/>
          <c:spPr>
            <a:ln>
              <a:gradFill>
                <a:gsLst>
                  <a:gs pos="0">
                    <a:srgbClr val="000099"/>
                  </a:gs>
                  <a:gs pos="39999">
                    <a:srgbClr val="0A128C"/>
                  </a:gs>
                  <a:gs pos="70000">
                    <a:srgbClr val="181CC7"/>
                  </a:gs>
                  <a:gs pos="88000">
                    <a:srgbClr val="7005D4"/>
                  </a:gs>
                  <a:gs pos="100000">
                    <a:srgbClr val="8C3D91"/>
                  </a:gs>
                </a:gsLst>
                <a:lin ang="5400000" scaled="0"/>
              </a:gradFill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none"/>
          </c:marker>
          <c:cat>
            <c:numRef>
              <c:f>'4.3'!$E$27:$G$27</c:f>
              <c:numCache>
                <c:formatCode>General</c:formatCode>
                <c:ptCount val="3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</c:numCache>
            </c:numRef>
          </c:cat>
          <c:val>
            <c:numRef>
              <c:f>'4.3'!$E$28:$G$28</c:f>
              <c:numCache>
                <c:formatCode>0.00</c:formatCode>
                <c:ptCount val="3"/>
                <c:pt idx="0">
                  <c:v>4</c:v>
                </c:pt>
                <c:pt idx="1">
                  <c:v>4.5</c:v>
                </c:pt>
                <c:pt idx="2">
                  <c:v>4.76</c:v>
                </c:pt>
              </c:numCache>
            </c:numRef>
          </c:val>
        </c:ser>
        <c:ser>
          <c:idx val="1"/>
          <c:order val="1"/>
          <c:spPr>
            <a:ln>
              <a:gradFill>
                <a:gsLst>
                  <a:gs pos="0">
                    <a:srgbClr val="000099"/>
                  </a:gs>
                  <a:gs pos="39999">
                    <a:srgbClr val="0A128C"/>
                  </a:gs>
                  <a:gs pos="70000">
                    <a:srgbClr val="181CC7"/>
                  </a:gs>
                  <a:gs pos="88000">
                    <a:srgbClr val="7005D4"/>
                  </a:gs>
                  <a:gs pos="100000">
                    <a:srgbClr val="8C3D91"/>
                  </a:gs>
                </a:gsLst>
                <a:lin ang="5400000" scaled="0"/>
              </a:gradFill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rgbClr val="C00000"/>
                    </a:solidFill>
                  </a:defRPr>
                </a:pPr>
                <a:endParaRPr lang="th-TH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>
                <a:solidFill>
                  <a:srgbClr val="C00000"/>
                </a:solidFill>
                <a:prstDash val="sys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4898086322810269"/>
                  <c:y val="0.1734083316697788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 b="1">
                      <a:solidFill>
                        <a:srgbClr val="C00000"/>
                      </a:solidFill>
                    </a:defRPr>
                  </a:pPr>
                  <a:endParaRPr lang="th-TH"/>
                </a:p>
              </c:txPr>
            </c:trendlineLbl>
          </c:trendline>
          <c:cat>
            <c:numRef>
              <c:f>'4.3'!$E$27:$G$27</c:f>
              <c:numCache>
                <c:formatCode>General</c:formatCode>
                <c:ptCount val="3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</c:numCache>
            </c:numRef>
          </c:cat>
          <c:val>
            <c:numRef>
              <c:f>'4.3'!$E$28:$G$28</c:f>
              <c:numCache>
                <c:formatCode>0.00</c:formatCode>
                <c:ptCount val="3"/>
                <c:pt idx="0">
                  <c:v>4</c:v>
                </c:pt>
                <c:pt idx="1">
                  <c:v>4.5</c:v>
                </c:pt>
                <c:pt idx="2">
                  <c:v>4.76</c:v>
                </c:pt>
              </c:numCache>
            </c:numRef>
          </c:val>
        </c:ser>
        <c:dLbls/>
        <c:marker val="1"/>
        <c:axId val="70710784"/>
        <c:axId val="70712320"/>
      </c:lineChart>
      <c:catAx>
        <c:axId val="707107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1400" b="1" i="0" u="none" strike="noStrike" kern="1200" baseline="0">
                <a:solidFill>
                  <a:schemeClr val="tx1"/>
                </a:solidFill>
                <a:latin typeface="Angsana New" pitchFamily="18" charset="-34"/>
                <a:ea typeface="+mn-ea"/>
                <a:cs typeface="Angsana New" pitchFamily="18" charset="-34"/>
              </a:defRPr>
            </a:pPr>
            <a:endParaRPr lang="th-TH"/>
          </a:p>
        </c:txPr>
        <c:crossAx val="70712320"/>
        <c:crosses val="autoZero"/>
        <c:auto val="1"/>
        <c:lblAlgn val="ctr"/>
        <c:lblOffset val="100"/>
      </c:catAx>
      <c:valAx>
        <c:axId val="70712320"/>
        <c:scaling>
          <c:orientation val="minMax"/>
          <c:max val="5"/>
          <c:min val="2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1400" b="1" i="0" u="none" strike="noStrike" kern="1200" baseline="0">
                <a:solidFill>
                  <a:schemeClr val="tx1"/>
                </a:solidFill>
                <a:latin typeface="Angsana New" pitchFamily="18" charset="-34"/>
                <a:ea typeface="+mn-ea"/>
                <a:cs typeface="Angsana New" pitchFamily="18" charset="-34"/>
              </a:defRPr>
            </a:pPr>
            <a:endParaRPr lang="th-TH"/>
          </a:p>
        </c:txPr>
        <c:crossAx val="70710784"/>
        <c:crosses val="autoZero"/>
        <c:crossBetween val="between"/>
        <c:majorUnit val="1"/>
        <c:minorUnit val="0.5"/>
      </c:valAx>
      <c:spPr>
        <a:noFill/>
        <a:ln>
          <a:prstDash val="solid"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rgbClr val="0033CC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ngsana New" panose="02020603050405020304" pitchFamily="18" charset="-34"/>
          <a:cs typeface="Angsana New" panose="02020603050405020304" pitchFamily="18" charset="-34"/>
        </a:defRPr>
      </a:pPr>
      <a:endParaRPr lang="th-TH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 rot="0" spcFirstLastPara="1" vertOverflow="ellipsis" vert="horz" wrap="square" anchor="ctr" anchorCtr="1"/>
          <a:lstStyle/>
          <a:p>
            <a:pPr>
              <a:defRPr lang="th-TH" sz="1200" b="1" i="0" u="none" strike="noStrike" kern="1200" spc="0" baseline="0">
                <a:solidFill>
                  <a:srgbClr val="000099"/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r>
              <a:rPr lang="th-TH" sz="1200" b="1">
                <a:solidFill>
                  <a:srgbClr val="000099"/>
                </a:solidFill>
              </a:rPr>
              <a:t>2. ระบบการบริหารอาจารย์</a:t>
            </a:r>
          </a:p>
        </c:rich>
      </c:tx>
      <c:layout>
        <c:manualLayout>
          <c:xMode val="edge"/>
          <c:yMode val="edge"/>
          <c:x val="0.28902512981916612"/>
          <c:y val="1.0603755096656876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4789834501758481"/>
          <c:y val="0.24539528971434632"/>
          <c:w val="0.75538101526181145"/>
          <c:h val="0.5169149757421202"/>
        </c:manualLayout>
      </c:layout>
      <c:lineChart>
        <c:grouping val="standard"/>
        <c:ser>
          <c:idx val="1"/>
          <c:order val="0"/>
          <c:spPr>
            <a:ln>
              <a:gradFill>
                <a:gsLst>
                  <a:gs pos="0">
                    <a:srgbClr val="000099"/>
                  </a:gs>
                  <a:gs pos="39999">
                    <a:srgbClr val="0A128C"/>
                  </a:gs>
                  <a:gs pos="70000">
                    <a:srgbClr val="181CC7"/>
                  </a:gs>
                  <a:gs pos="88000">
                    <a:srgbClr val="7005D4"/>
                  </a:gs>
                  <a:gs pos="100000">
                    <a:srgbClr val="8C3D91"/>
                  </a:gs>
                </a:gsLst>
                <a:lin ang="5400000" scaled="0"/>
              </a:gradFill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rgbClr val="C00000"/>
                    </a:solidFill>
                  </a:defRPr>
                </a:pPr>
                <a:endParaRPr lang="th-TH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>
                <a:solidFill>
                  <a:srgbClr val="C00000"/>
                </a:solidFill>
                <a:prstDash val="sys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5108118791350497"/>
                  <c:y val="0.2108013793655766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 b="1">
                      <a:solidFill>
                        <a:srgbClr val="C00000"/>
                      </a:solidFill>
                    </a:defRPr>
                  </a:pPr>
                  <a:endParaRPr lang="th-TH"/>
                </a:p>
              </c:txPr>
            </c:trendlineLbl>
          </c:trendline>
          <c:cat>
            <c:numRef>
              <c:f>'4.3'!$E$27:$G$27</c:f>
              <c:numCache>
                <c:formatCode>General</c:formatCode>
                <c:ptCount val="3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</c:numCache>
            </c:numRef>
          </c:cat>
          <c:val>
            <c:numRef>
              <c:f>'4.3'!$E$29:$G$29</c:f>
              <c:numCache>
                <c:formatCode>0.00</c:formatCode>
                <c:ptCount val="3"/>
                <c:pt idx="0">
                  <c:v>4</c:v>
                </c:pt>
                <c:pt idx="1">
                  <c:v>3.8</c:v>
                </c:pt>
                <c:pt idx="2">
                  <c:v>4.8</c:v>
                </c:pt>
              </c:numCache>
            </c:numRef>
          </c:val>
        </c:ser>
        <c:dLbls/>
        <c:marker val="1"/>
        <c:axId val="71216512"/>
        <c:axId val="71222400"/>
      </c:lineChart>
      <c:catAx>
        <c:axId val="712165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1400" b="1" i="0" u="none" strike="noStrike" kern="1200" baseline="0">
                <a:solidFill>
                  <a:schemeClr val="tx1"/>
                </a:solidFill>
                <a:latin typeface="Angsana New" pitchFamily="18" charset="-34"/>
                <a:ea typeface="+mn-ea"/>
                <a:cs typeface="Angsana New" pitchFamily="18" charset="-34"/>
              </a:defRPr>
            </a:pPr>
            <a:endParaRPr lang="th-TH"/>
          </a:p>
        </c:txPr>
        <c:crossAx val="71222400"/>
        <c:crosses val="autoZero"/>
        <c:auto val="1"/>
        <c:lblAlgn val="ctr"/>
        <c:lblOffset val="100"/>
      </c:catAx>
      <c:valAx>
        <c:axId val="71222400"/>
        <c:scaling>
          <c:orientation val="minMax"/>
          <c:max val="5"/>
          <c:min val="2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1400" b="1" i="0" u="none" strike="noStrike" kern="1200" baseline="0">
                <a:solidFill>
                  <a:schemeClr val="tx1"/>
                </a:solidFill>
                <a:latin typeface="Angsana New" pitchFamily="18" charset="-34"/>
                <a:ea typeface="+mn-ea"/>
                <a:cs typeface="Angsana New" pitchFamily="18" charset="-34"/>
              </a:defRPr>
            </a:pPr>
            <a:endParaRPr lang="th-TH"/>
          </a:p>
        </c:txPr>
        <c:crossAx val="71216512"/>
        <c:crosses val="autoZero"/>
        <c:crossBetween val="between"/>
        <c:majorUnit val="1"/>
        <c:minorUnit val="0.5"/>
      </c:valAx>
      <c:spPr>
        <a:noFill/>
        <a:ln>
          <a:prstDash val="solid"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rgbClr val="0033CC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ngsana New" panose="02020603050405020304" pitchFamily="18" charset="-34"/>
          <a:cs typeface="Angsana New" panose="02020603050405020304" pitchFamily="18" charset="-34"/>
        </a:defRPr>
      </a:pPr>
      <a:endParaRPr lang="th-TH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 rot="0" spcFirstLastPara="1" vertOverflow="ellipsis" vert="horz" wrap="square" anchor="ctr" anchorCtr="1"/>
          <a:lstStyle/>
          <a:p>
            <a:pPr>
              <a:defRPr lang="th-TH" sz="1200" b="1" i="0" u="none" strike="noStrike" kern="1200" spc="0" baseline="0">
                <a:solidFill>
                  <a:srgbClr val="000099"/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r>
              <a:rPr lang="th-TH" sz="1200" b="1">
                <a:solidFill>
                  <a:srgbClr val="000099"/>
                </a:solidFill>
              </a:rPr>
              <a:t>3. ระบบการส่งเสริมและพัฒนาอาจารย์</a:t>
            </a:r>
          </a:p>
        </c:rich>
      </c:tx>
      <c:layout>
        <c:manualLayout>
          <c:xMode val="edge"/>
          <c:yMode val="edge"/>
          <c:x val="0.18328216954664572"/>
          <c:y val="2.5561030072943192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4789834501758481"/>
          <c:y val="0.24539528971434632"/>
          <c:w val="0.75538101526181145"/>
          <c:h val="0.5169149757421202"/>
        </c:manualLayout>
      </c:layout>
      <c:lineChart>
        <c:grouping val="standard"/>
        <c:ser>
          <c:idx val="1"/>
          <c:order val="0"/>
          <c:spPr>
            <a:ln>
              <a:gradFill>
                <a:gsLst>
                  <a:gs pos="0">
                    <a:srgbClr val="000099"/>
                  </a:gs>
                  <a:gs pos="39999">
                    <a:srgbClr val="0A128C"/>
                  </a:gs>
                  <a:gs pos="70000">
                    <a:srgbClr val="181CC7"/>
                  </a:gs>
                  <a:gs pos="88000">
                    <a:srgbClr val="7005D4"/>
                  </a:gs>
                  <a:gs pos="100000">
                    <a:srgbClr val="8C3D91"/>
                  </a:gs>
                </a:gsLst>
                <a:lin ang="5400000" scaled="0"/>
              </a:gradFill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rgbClr val="C00000"/>
                    </a:solidFill>
                  </a:defRPr>
                </a:pPr>
                <a:endParaRPr lang="th-TH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>
                <a:solidFill>
                  <a:srgbClr val="C00000"/>
                </a:solidFill>
                <a:prstDash val="sys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4898086322810269"/>
                  <c:y val="0.1734083316697788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 b="1">
                      <a:solidFill>
                        <a:srgbClr val="C00000"/>
                      </a:solidFill>
                    </a:defRPr>
                  </a:pPr>
                  <a:endParaRPr lang="th-TH"/>
                </a:p>
              </c:txPr>
            </c:trendlineLbl>
          </c:trendline>
          <c:cat>
            <c:numRef>
              <c:f>'4.3'!$E$27:$G$27</c:f>
              <c:numCache>
                <c:formatCode>General</c:formatCode>
                <c:ptCount val="3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</c:numCache>
            </c:numRef>
          </c:cat>
          <c:val>
            <c:numRef>
              <c:f>'4.3'!$E$30:$G$30</c:f>
              <c:numCache>
                <c:formatCode>0.00</c:formatCode>
                <c:ptCount val="3"/>
                <c:pt idx="0">
                  <c:v>4.2</c:v>
                </c:pt>
                <c:pt idx="1">
                  <c:v>4.5</c:v>
                </c:pt>
                <c:pt idx="2">
                  <c:v>4</c:v>
                </c:pt>
              </c:numCache>
            </c:numRef>
          </c:val>
        </c:ser>
        <c:dLbls/>
        <c:marker val="1"/>
        <c:axId val="72308224"/>
        <c:axId val="72309760"/>
      </c:lineChart>
      <c:catAx>
        <c:axId val="723082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1400" b="1" i="0" u="none" strike="noStrike" kern="1200" baseline="0">
                <a:solidFill>
                  <a:schemeClr val="tx1"/>
                </a:solidFill>
                <a:latin typeface="Angsana New" pitchFamily="18" charset="-34"/>
                <a:ea typeface="+mn-ea"/>
                <a:cs typeface="Angsana New" pitchFamily="18" charset="-34"/>
              </a:defRPr>
            </a:pPr>
            <a:endParaRPr lang="th-TH"/>
          </a:p>
        </c:txPr>
        <c:crossAx val="72309760"/>
        <c:crosses val="autoZero"/>
        <c:auto val="1"/>
        <c:lblAlgn val="ctr"/>
        <c:lblOffset val="100"/>
      </c:catAx>
      <c:valAx>
        <c:axId val="72309760"/>
        <c:scaling>
          <c:orientation val="minMax"/>
          <c:max val="5"/>
          <c:min val="2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1400" b="1" i="0" u="none" strike="noStrike" kern="1200" baseline="0">
                <a:solidFill>
                  <a:schemeClr val="tx1"/>
                </a:solidFill>
                <a:latin typeface="Angsana New" pitchFamily="18" charset="-34"/>
                <a:ea typeface="+mn-ea"/>
                <a:cs typeface="Angsana New" pitchFamily="18" charset="-34"/>
              </a:defRPr>
            </a:pPr>
            <a:endParaRPr lang="th-TH"/>
          </a:p>
        </c:txPr>
        <c:crossAx val="72308224"/>
        <c:crosses val="autoZero"/>
        <c:crossBetween val="between"/>
        <c:majorUnit val="1"/>
        <c:minorUnit val="0.5"/>
      </c:valAx>
      <c:spPr>
        <a:noFill/>
        <a:ln>
          <a:prstDash val="solid"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rgbClr val="0033CC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ngsana New" panose="02020603050405020304" pitchFamily="18" charset="-34"/>
          <a:cs typeface="Angsana New" panose="02020603050405020304" pitchFamily="18" charset="-34"/>
        </a:defRPr>
      </a:pPr>
      <a:endParaRPr lang="th-TH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 rot="0" spcFirstLastPara="1" vertOverflow="ellipsis" vert="horz" wrap="square" anchor="ctr" anchorCtr="1"/>
          <a:lstStyle/>
          <a:p>
            <a:pPr>
              <a:defRPr lang="th-TH" sz="1200" b="1" i="0" u="none" strike="noStrike" kern="1200" spc="0" baseline="0">
                <a:solidFill>
                  <a:srgbClr val="000099"/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r>
              <a:rPr lang="th-TH" sz="1200" b="1">
                <a:solidFill>
                  <a:srgbClr val="000099"/>
                </a:solidFill>
              </a:rPr>
              <a:t>4. การส่งเสริมอาจารย์ให้มีคุณวุฒิปริญญาเอก</a:t>
            </a:r>
          </a:p>
        </c:rich>
      </c:tx>
      <c:layout>
        <c:manualLayout>
          <c:xMode val="edge"/>
          <c:yMode val="edge"/>
          <c:x val="0.11372080264009871"/>
          <c:y val="3.2186578946026778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4789834501758481"/>
          <c:y val="0.24539528971434632"/>
          <c:w val="0.75538101526181145"/>
          <c:h val="0.5169149757421202"/>
        </c:manualLayout>
      </c:layout>
      <c:lineChart>
        <c:grouping val="standard"/>
        <c:ser>
          <c:idx val="1"/>
          <c:order val="0"/>
          <c:spPr>
            <a:ln>
              <a:gradFill>
                <a:gsLst>
                  <a:gs pos="0">
                    <a:srgbClr val="000099"/>
                  </a:gs>
                  <a:gs pos="39999">
                    <a:srgbClr val="0A128C"/>
                  </a:gs>
                  <a:gs pos="70000">
                    <a:srgbClr val="181CC7"/>
                  </a:gs>
                  <a:gs pos="88000">
                    <a:srgbClr val="7005D4"/>
                  </a:gs>
                  <a:gs pos="100000">
                    <a:srgbClr val="8C3D91"/>
                  </a:gs>
                </a:gsLst>
                <a:lin ang="5400000" scaled="0"/>
              </a:gradFill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rgbClr val="C00000"/>
                    </a:solidFill>
                  </a:defRPr>
                </a:pPr>
                <a:endParaRPr lang="th-TH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>
                <a:solidFill>
                  <a:srgbClr val="C00000"/>
                </a:solidFill>
                <a:prstDash val="sys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5108118791350497"/>
                  <c:y val="0.2108013793655766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 b="1">
                      <a:solidFill>
                        <a:srgbClr val="C00000"/>
                      </a:solidFill>
                    </a:defRPr>
                  </a:pPr>
                  <a:endParaRPr lang="th-TH"/>
                </a:p>
              </c:txPr>
            </c:trendlineLbl>
          </c:trendline>
          <c:cat>
            <c:numRef>
              <c:f>'4.3'!$E$27:$G$27</c:f>
              <c:numCache>
                <c:formatCode>General</c:formatCode>
                <c:ptCount val="3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</c:numCache>
            </c:numRef>
          </c:cat>
          <c:val>
            <c:numRef>
              <c:f>'4.3'!$E$31:$G$31</c:f>
              <c:numCache>
                <c:formatCode>0.00</c:formatCode>
                <c:ptCount val="3"/>
                <c:pt idx="0">
                  <c:v>4.4000000000000004</c:v>
                </c:pt>
                <c:pt idx="1">
                  <c:v>4.0999999999999996</c:v>
                </c:pt>
                <c:pt idx="2">
                  <c:v>4.9000000000000004</c:v>
                </c:pt>
              </c:numCache>
            </c:numRef>
          </c:val>
        </c:ser>
        <c:dLbls/>
        <c:marker val="1"/>
        <c:axId val="72347008"/>
        <c:axId val="72356992"/>
      </c:lineChart>
      <c:catAx>
        <c:axId val="72347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1400" b="1" i="0" u="none" strike="noStrike" kern="1200" baseline="0">
                <a:solidFill>
                  <a:schemeClr val="tx1"/>
                </a:solidFill>
                <a:latin typeface="Angsana New" pitchFamily="18" charset="-34"/>
                <a:ea typeface="+mn-ea"/>
                <a:cs typeface="Angsana New" pitchFamily="18" charset="-34"/>
              </a:defRPr>
            </a:pPr>
            <a:endParaRPr lang="th-TH"/>
          </a:p>
        </c:txPr>
        <c:crossAx val="72356992"/>
        <c:crosses val="autoZero"/>
        <c:auto val="1"/>
        <c:lblAlgn val="ctr"/>
        <c:lblOffset val="100"/>
      </c:catAx>
      <c:valAx>
        <c:axId val="72356992"/>
        <c:scaling>
          <c:orientation val="minMax"/>
          <c:max val="5"/>
          <c:min val="2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1400" b="1" i="0" u="none" strike="noStrike" kern="1200" baseline="0">
                <a:solidFill>
                  <a:schemeClr val="tx1"/>
                </a:solidFill>
                <a:latin typeface="Angsana New" pitchFamily="18" charset="-34"/>
                <a:ea typeface="+mn-ea"/>
                <a:cs typeface="Angsana New" pitchFamily="18" charset="-34"/>
              </a:defRPr>
            </a:pPr>
            <a:endParaRPr lang="th-TH"/>
          </a:p>
        </c:txPr>
        <c:crossAx val="72347008"/>
        <c:crosses val="autoZero"/>
        <c:crossBetween val="between"/>
        <c:majorUnit val="1"/>
        <c:minorUnit val="0.5"/>
      </c:valAx>
      <c:spPr>
        <a:noFill/>
        <a:ln>
          <a:prstDash val="solid"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rgbClr val="0033CC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ngsana New" panose="02020603050405020304" pitchFamily="18" charset="-34"/>
          <a:cs typeface="Angsana New" panose="02020603050405020304" pitchFamily="18" charset="-34"/>
        </a:defRPr>
      </a:pPr>
      <a:endParaRPr lang="th-TH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 rot="0" spcFirstLastPara="1" vertOverflow="ellipsis" vert="horz" wrap="square" anchor="ctr" anchorCtr="1"/>
          <a:lstStyle/>
          <a:p>
            <a:pPr>
              <a:defRPr lang="th-TH" sz="1200" b="1" i="0" u="none" strike="noStrike" kern="1200" spc="0" baseline="0">
                <a:solidFill>
                  <a:srgbClr val="000099"/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r>
              <a:rPr lang="th-TH" sz="1200" b="1">
                <a:solidFill>
                  <a:srgbClr val="000099"/>
                </a:solidFill>
              </a:rPr>
              <a:t>5. การส่งเสริมให้มีตำแหน่งทางวิชาการ</a:t>
            </a:r>
          </a:p>
        </c:rich>
      </c:tx>
      <c:layout>
        <c:manualLayout>
          <c:xMode val="edge"/>
          <c:yMode val="edge"/>
          <c:x val="0.15556959668636641"/>
          <c:y val="3.2186849991599098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4789834501758481"/>
          <c:y val="0.24539528971434632"/>
          <c:w val="0.75538101526181145"/>
          <c:h val="0.5169149757421202"/>
        </c:manualLayout>
      </c:layout>
      <c:lineChart>
        <c:grouping val="standard"/>
        <c:ser>
          <c:idx val="1"/>
          <c:order val="0"/>
          <c:spPr>
            <a:ln>
              <a:gradFill>
                <a:gsLst>
                  <a:gs pos="0">
                    <a:srgbClr val="000099"/>
                  </a:gs>
                  <a:gs pos="39999">
                    <a:srgbClr val="0A128C"/>
                  </a:gs>
                  <a:gs pos="70000">
                    <a:srgbClr val="181CC7"/>
                  </a:gs>
                  <a:gs pos="88000">
                    <a:srgbClr val="7005D4"/>
                  </a:gs>
                  <a:gs pos="100000">
                    <a:srgbClr val="8C3D91"/>
                  </a:gs>
                </a:gsLst>
                <a:lin ang="5400000" scaled="0"/>
              </a:gradFill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rgbClr val="C00000"/>
                    </a:solidFill>
                  </a:defRPr>
                </a:pPr>
                <a:endParaRPr lang="th-TH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>
                <a:solidFill>
                  <a:srgbClr val="C00000"/>
                </a:solidFill>
                <a:prstDash val="sys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5108118791350497"/>
                  <c:y val="0.2108013793655766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 b="1">
                      <a:solidFill>
                        <a:srgbClr val="C00000"/>
                      </a:solidFill>
                    </a:defRPr>
                  </a:pPr>
                  <a:endParaRPr lang="th-TH"/>
                </a:p>
              </c:txPr>
            </c:trendlineLbl>
          </c:trendline>
          <c:cat>
            <c:numRef>
              <c:f>'4.3'!$E$27:$G$27</c:f>
              <c:numCache>
                <c:formatCode>General</c:formatCode>
                <c:ptCount val="3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</c:numCache>
            </c:numRef>
          </c:cat>
          <c:val>
            <c:numRef>
              <c:f>'4.3'!$E$32:$G$32</c:f>
              <c:numCache>
                <c:formatCode>0.00</c:formatCode>
                <c:ptCount val="3"/>
                <c:pt idx="0">
                  <c:v>4.3</c:v>
                </c:pt>
                <c:pt idx="1">
                  <c:v>4.9000000000000004</c:v>
                </c:pt>
                <c:pt idx="2">
                  <c:v>4.5</c:v>
                </c:pt>
              </c:numCache>
            </c:numRef>
          </c:val>
        </c:ser>
        <c:dLbls/>
        <c:marker val="1"/>
        <c:axId val="72398336"/>
        <c:axId val="72399872"/>
      </c:lineChart>
      <c:catAx>
        <c:axId val="723983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1400" b="1" i="0" u="none" strike="noStrike" kern="1200" baseline="0">
                <a:solidFill>
                  <a:schemeClr val="tx1"/>
                </a:solidFill>
                <a:latin typeface="Angsana New" pitchFamily="18" charset="-34"/>
                <a:ea typeface="+mn-ea"/>
                <a:cs typeface="Angsana New" pitchFamily="18" charset="-34"/>
              </a:defRPr>
            </a:pPr>
            <a:endParaRPr lang="th-TH"/>
          </a:p>
        </c:txPr>
        <c:crossAx val="72399872"/>
        <c:crosses val="autoZero"/>
        <c:auto val="1"/>
        <c:lblAlgn val="ctr"/>
        <c:lblOffset val="100"/>
      </c:catAx>
      <c:valAx>
        <c:axId val="72399872"/>
        <c:scaling>
          <c:orientation val="minMax"/>
          <c:max val="5"/>
          <c:min val="2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1400" b="1" i="0" u="none" strike="noStrike" kern="1200" baseline="0">
                <a:solidFill>
                  <a:schemeClr val="tx1"/>
                </a:solidFill>
                <a:latin typeface="Angsana New" pitchFamily="18" charset="-34"/>
                <a:ea typeface="+mn-ea"/>
                <a:cs typeface="Angsana New" pitchFamily="18" charset="-34"/>
              </a:defRPr>
            </a:pPr>
            <a:endParaRPr lang="th-TH"/>
          </a:p>
        </c:txPr>
        <c:crossAx val="72398336"/>
        <c:crosses val="autoZero"/>
        <c:crossBetween val="between"/>
        <c:majorUnit val="1"/>
        <c:minorUnit val="0.5"/>
      </c:valAx>
      <c:spPr>
        <a:noFill/>
        <a:ln>
          <a:prstDash val="solid"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rgbClr val="0033CC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ngsana New" panose="02020603050405020304" pitchFamily="18" charset="-34"/>
          <a:cs typeface="Angsana New" panose="02020603050405020304" pitchFamily="18" charset="-34"/>
        </a:defRPr>
      </a:pPr>
      <a:endParaRPr lang="th-TH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 rot="0" spcFirstLastPara="1" vertOverflow="ellipsis" vert="horz" wrap="square" anchor="ctr" anchorCtr="1"/>
          <a:lstStyle/>
          <a:p>
            <a:pPr>
              <a:defRPr lang="th-TH" sz="1200" b="1" i="0" u="none" strike="noStrike" kern="1200" spc="0" baseline="0">
                <a:solidFill>
                  <a:srgbClr val="000099"/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r>
              <a:rPr lang="th-TH" sz="1200" b="1">
                <a:solidFill>
                  <a:srgbClr val="000099"/>
                </a:solidFill>
              </a:rPr>
              <a:t>6. การส่งเสริมการเผยแพร่ผลงานทางวิชาการ</a:t>
            </a:r>
          </a:p>
        </c:rich>
      </c:tx>
      <c:layout>
        <c:manualLayout>
          <c:xMode val="edge"/>
          <c:yMode val="edge"/>
          <c:x val="0.15556959668636641"/>
          <c:y val="3.2186849991599098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4789834501758481"/>
          <c:y val="0.24539528971434632"/>
          <c:w val="0.75538101526181145"/>
          <c:h val="0.5169149757421202"/>
        </c:manualLayout>
      </c:layout>
      <c:lineChart>
        <c:grouping val="standard"/>
        <c:ser>
          <c:idx val="1"/>
          <c:order val="0"/>
          <c:spPr>
            <a:ln>
              <a:gradFill>
                <a:gsLst>
                  <a:gs pos="0">
                    <a:srgbClr val="000099"/>
                  </a:gs>
                  <a:gs pos="39999">
                    <a:srgbClr val="0A128C"/>
                  </a:gs>
                  <a:gs pos="70000">
                    <a:srgbClr val="181CC7"/>
                  </a:gs>
                  <a:gs pos="88000">
                    <a:srgbClr val="7005D4"/>
                  </a:gs>
                  <a:gs pos="100000">
                    <a:srgbClr val="8C3D91"/>
                  </a:gs>
                </a:gsLst>
                <a:lin ang="5400000" scaled="0"/>
              </a:gradFill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rgbClr val="C00000"/>
                    </a:solidFill>
                  </a:defRPr>
                </a:pPr>
                <a:endParaRPr lang="th-TH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>
                <a:solidFill>
                  <a:srgbClr val="C00000"/>
                </a:solidFill>
                <a:prstDash val="sys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5108118791350497"/>
                  <c:y val="0.2108013793655766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 b="1">
                      <a:solidFill>
                        <a:srgbClr val="C00000"/>
                      </a:solidFill>
                    </a:defRPr>
                  </a:pPr>
                  <a:endParaRPr lang="th-TH"/>
                </a:p>
              </c:txPr>
            </c:trendlineLbl>
          </c:trendline>
          <c:cat>
            <c:numRef>
              <c:f>'4.3'!$E$27:$G$27</c:f>
              <c:numCache>
                <c:formatCode>General</c:formatCode>
                <c:ptCount val="3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</c:numCache>
            </c:numRef>
          </c:cat>
          <c:val>
            <c:numRef>
              <c:f>'4.3'!$E$33:$G$33</c:f>
              <c:numCache>
                <c:formatCode>0.00</c:formatCode>
                <c:ptCount val="3"/>
                <c:pt idx="0">
                  <c:v>4.9000000000000004</c:v>
                </c:pt>
                <c:pt idx="1">
                  <c:v>4.3</c:v>
                </c:pt>
                <c:pt idx="2">
                  <c:v>4.7</c:v>
                </c:pt>
              </c:numCache>
            </c:numRef>
          </c:val>
        </c:ser>
        <c:dLbls/>
        <c:marker val="1"/>
        <c:axId val="72621440"/>
        <c:axId val="72631424"/>
      </c:lineChart>
      <c:catAx>
        <c:axId val="726214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1400" b="1" i="0" u="none" strike="noStrike" kern="1200" baseline="0">
                <a:solidFill>
                  <a:schemeClr val="tx1"/>
                </a:solidFill>
                <a:latin typeface="Angsana New" pitchFamily="18" charset="-34"/>
                <a:ea typeface="+mn-ea"/>
                <a:cs typeface="Angsana New" pitchFamily="18" charset="-34"/>
              </a:defRPr>
            </a:pPr>
            <a:endParaRPr lang="th-TH"/>
          </a:p>
        </c:txPr>
        <c:crossAx val="72631424"/>
        <c:crosses val="autoZero"/>
        <c:auto val="1"/>
        <c:lblAlgn val="ctr"/>
        <c:lblOffset val="100"/>
      </c:catAx>
      <c:valAx>
        <c:axId val="72631424"/>
        <c:scaling>
          <c:orientation val="minMax"/>
          <c:max val="5"/>
          <c:min val="2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1400" b="1" i="0" u="none" strike="noStrike" kern="1200" baseline="0">
                <a:solidFill>
                  <a:schemeClr val="tx1"/>
                </a:solidFill>
                <a:latin typeface="Angsana New" pitchFamily="18" charset="-34"/>
                <a:ea typeface="+mn-ea"/>
                <a:cs typeface="Angsana New" pitchFamily="18" charset="-34"/>
              </a:defRPr>
            </a:pPr>
            <a:endParaRPr lang="th-TH"/>
          </a:p>
        </c:txPr>
        <c:crossAx val="72621440"/>
        <c:crosses val="autoZero"/>
        <c:crossBetween val="between"/>
        <c:majorUnit val="1"/>
        <c:minorUnit val="0.5"/>
      </c:valAx>
      <c:spPr>
        <a:noFill/>
        <a:ln>
          <a:prstDash val="solid"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rgbClr val="0033CC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ngsana New" panose="02020603050405020304" pitchFamily="18" charset="-34"/>
          <a:cs typeface="Angsana New" panose="02020603050405020304" pitchFamily="18" charset="-34"/>
        </a:defRPr>
      </a:pPr>
      <a:endParaRPr lang="th-TH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 rot="0" spcFirstLastPara="1" vertOverflow="ellipsis" vert="horz" wrap="square" anchor="ctr" anchorCtr="1"/>
          <a:lstStyle/>
          <a:p>
            <a:pPr>
              <a:defRPr lang="th-TH" sz="1600" b="1" i="0" u="none" strike="noStrike" kern="1200" spc="0" baseline="0">
                <a:solidFill>
                  <a:srgbClr val="000099"/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r>
              <a:rPr lang="th-TH" sz="1600" b="1">
                <a:solidFill>
                  <a:srgbClr val="000099"/>
                </a:solidFill>
              </a:rPr>
              <a:t>คะแนนความพึงพอใจเฉลี่ย</a:t>
            </a:r>
          </a:p>
        </c:rich>
      </c:tx>
      <c:layout>
        <c:manualLayout>
          <c:xMode val="edge"/>
          <c:yMode val="edge"/>
          <c:x val="0.35625683902914196"/>
          <c:y val="5.449188198208893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4789834501758481"/>
          <c:y val="0.24539528971434632"/>
          <c:w val="0.75538101526181145"/>
          <c:h val="0.5169149757421202"/>
        </c:manualLayout>
      </c:layout>
      <c:lineChart>
        <c:grouping val="standard"/>
        <c:ser>
          <c:idx val="1"/>
          <c:order val="0"/>
          <c:spPr>
            <a:ln>
              <a:gradFill>
                <a:gsLst>
                  <a:gs pos="0">
                    <a:srgbClr val="000099"/>
                  </a:gs>
                  <a:gs pos="39999">
                    <a:srgbClr val="0A128C"/>
                  </a:gs>
                  <a:gs pos="70000">
                    <a:srgbClr val="181CC7"/>
                  </a:gs>
                  <a:gs pos="88000">
                    <a:srgbClr val="7005D4"/>
                  </a:gs>
                  <a:gs pos="100000">
                    <a:srgbClr val="8C3D91"/>
                  </a:gs>
                </a:gsLst>
                <a:lin ang="5400000" scaled="0"/>
              </a:gradFill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rgbClr val="C00000"/>
                    </a:solidFill>
                  </a:defRPr>
                </a:pPr>
                <a:endParaRPr lang="th-TH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>
                <a:solidFill>
                  <a:srgbClr val="C00000"/>
                </a:solidFill>
                <a:prstDash val="sys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5174456801147282"/>
                  <c:y val="0.1834152389242802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 b="1">
                      <a:solidFill>
                        <a:srgbClr val="C00000"/>
                      </a:solidFill>
                    </a:defRPr>
                  </a:pPr>
                  <a:endParaRPr lang="th-TH"/>
                </a:p>
              </c:txPr>
            </c:trendlineLbl>
          </c:trendline>
          <c:cat>
            <c:numRef>
              <c:f>'4.3'!$E$27:$G$27</c:f>
              <c:numCache>
                <c:formatCode>General</c:formatCode>
                <c:ptCount val="3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</c:numCache>
            </c:numRef>
          </c:cat>
          <c:val>
            <c:numRef>
              <c:f>'4.3'!$E$34:$G$34</c:f>
              <c:numCache>
                <c:formatCode>0.00</c:formatCode>
                <c:ptCount val="3"/>
                <c:pt idx="0">
                  <c:v>4.3000000000000007</c:v>
                </c:pt>
                <c:pt idx="1">
                  <c:v>4.3499999999999996</c:v>
                </c:pt>
                <c:pt idx="2">
                  <c:v>4.6100000000000003</c:v>
                </c:pt>
              </c:numCache>
            </c:numRef>
          </c:val>
        </c:ser>
        <c:dLbls/>
        <c:marker val="1"/>
        <c:axId val="72672768"/>
        <c:axId val="72674304"/>
      </c:lineChart>
      <c:catAx>
        <c:axId val="726727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1400" b="1" i="0" u="none" strike="noStrike" kern="1200" baseline="0">
                <a:solidFill>
                  <a:schemeClr val="tx1"/>
                </a:solidFill>
                <a:latin typeface="Angsana New" pitchFamily="18" charset="-34"/>
                <a:ea typeface="+mn-ea"/>
                <a:cs typeface="Angsana New" pitchFamily="18" charset="-34"/>
              </a:defRPr>
            </a:pPr>
            <a:endParaRPr lang="th-TH"/>
          </a:p>
        </c:txPr>
        <c:crossAx val="72674304"/>
        <c:crosses val="autoZero"/>
        <c:auto val="1"/>
        <c:lblAlgn val="ctr"/>
        <c:lblOffset val="100"/>
      </c:catAx>
      <c:valAx>
        <c:axId val="72674304"/>
        <c:scaling>
          <c:orientation val="minMax"/>
          <c:max val="5"/>
          <c:min val="2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1400" b="1" i="0" u="none" strike="noStrike" kern="1200" baseline="0">
                <a:solidFill>
                  <a:schemeClr val="tx1"/>
                </a:solidFill>
                <a:latin typeface="Angsana New" pitchFamily="18" charset="-34"/>
                <a:ea typeface="+mn-ea"/>
                <a:cs typeface="Angsana New" pitchFamily="18" charset="-34"/>
              </a:defRPr>
            </a:pPr>
            <a:endParaRPr lang="th-TH"/>
          </a:p>
        </c:txPr>
        <c:crossAx val="72672768"/>
        <c:crosses val="autoZero"/>
        <c:crossBetween val="between"/>
        <c:majorUnit val="1"/>
        <c:minorUnit val="0.5"/>
      </c:valAx>
      <c:spPr>
        <a:noFill/>
        <a:ln>
          <a:prstDash val="solid"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rgbClr val="0033CC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ngsana New" panose="02020603050405020304" pitchFamily="18" charset="-34"/>
          <a:cs typeface="Angsana New" panose="02020603050405020304" pitchFamily="18" charset="-34"/>
        </a:defRPr>
      </a:pPr>
      <a:endParaRPr lang="th-TH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6"/>
  <c:chart>
    <c:title>
      <c:tx>
        <c:rich>
          <a:bodyPr rot="0" vert="horz"/>
          <a:lstStyle/>
          <a:p>
            <a:pPr>
              <a:defRPr lang="th-TH" sz="1800">
                <a:latin typeface="AngsanaUPC" pitchFamily="18" charset="-34"/>
                <a:cs typeface="AngsanaUPC" pitchFamily="18" charset="-34"/>
              </a:defRPr>
            </a:pPr>
            <a:r>
              <a:rPr lang="th-TH" sz="1800">
                <a:latin typeface="AngsanaUPC" pitchFamily="18" charset="-34"/>
                <a:cs typeface="AngsanaUPC" pitchFamily="18" charset="-34"/>
              </a:rPr>
              <a:t>อัตราการสำเร็จการศึกษาตามกำหนด</a:t>
            </a:r>
            <a:endParaRPr lang="en-US" sz="1800">
              <a:latin typeface="AngsanaUPC" pitchFamily="18" charset="-34"/>
              <a:cs typeface="AngsanaUPC" pitchFamily="18" charset="-34"/>
            </a:endParaRPr>
          </a:p>
        </c:rich>
      </c:tx>
      <c:layout>
        <c:manualLayout>
          <c:xMode val="edge"/>
          <c:yMode val="edge"/>
          <c:x val="0.20986928149152834"/>
          <c:y val="2.9281580504257006E-2"/>
        </c:manualLayout>
      </c:layout>
      <c:spPr>
        <a:noFill/>
        <a:ln>
          <a:solidFill>
            <a:schemeClr val="bg1"/>
          </a:solidFill>
        </a:ln>
        <a:effectLst/>
      </c:spPr>
    </c:title>
    <c:plotArea>
      <c:layout>
        <c:manualLayout>
          <c:layoutTarget val="inner"/>
          <c:xMode val="edge"/>
          <c:yMode val="edge"/>
          <c:x val="0.16490648125129842"/>
          <c:y val="0.22521397249403571"/>
          <c:w val="0.77770760285558882"/>
          <c:h val="0.56540576192758152"/>
        </c:manualLayout>
      </c:layout>
      <c:lineChart>
        <c:grouping val="standard"/>
        <c:ser>
          <c:idx val="0"/>
          <c:order val="0"/>
          <c:spPr>
            <a:ln w="2857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99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268708308977422E-2"/>
                  <c:y val="0.2590517707801942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lang="th-TH" sz="1800" b="1">
                      <a:solidFill>
                        <a:srgbClr val="FF0000"/>
                      </a:solidFill>
                      <a:latin typeface="AngsanaUPC" pitchFamily="18" charset="-34"/>
                      <a:cs typeface="AngsanaUPC" pitchFamily="18" charset="-34"/>
                    </a:defRPr>
                  </a:pPr>
                  <a:endParaRPr lang="th-TH"/>
                </a:p>
              </c:txPr>
            </c:trendlineLbl>
          </c:trendline>
          <c:cat>
            <c:numRef>
              <c:f>'3.3-4ปี'!$A$6:$A$9</c:f>
              <c:numCache>
                <c:formatCode>General</c:formatCode>
                <c:ptCount val="4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</c:numCache>
            </c:numRef>
          </c:cat>
          <c:val>
            <c:numRef>
              <c:f>'3.3-4ปี'!$N$6:$N$9</c:f>
              <c:numCache>
                <c:formatCode>0.00</c:formatCode>
                <c:ptCount val="4"/>
                <c:pt idx="0">
                  <c:v>76.923076923076934</c:v>
                </c:pt>
                <c:pt idx="1">
                  <c:v>100</c:v>
                </c:pt>
                <c:pt idx="2">
                  <c:v>92.307692307692307</c:v>
                </c:pt>
                <c:pt idx="3">
                  <c:v>84.615384615384613</c:v>
                </c:pt>
              </c:numCache>
            </c:numRef>
          </c:val>
        </c:ser>
        <c:dLbls/>
        <c:marker val="1"/>
        <c:axId val="57012992"/>
        <c:axId val="57014528"/>
      </c:lineChart>
      <c:catAx>
        <c:axId val="570129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lang="th-TH" b="1">
                <a:solidFill>
                  <a:schemeClr val="tx1"/>
                </a:solidFill>
              </a:defRPr>
            </a:pPr>
            <a:endParaRPr lang="th-TH"/>
          </a:p>
        </c:txPr>
        <c:crossAx val="57014528"/>
        <c:crosses val="autoZero"/>
        <c:auto val="1"/>
        <c:lblAlgn val="ctr"/>
        <c:lblOffset val="100"/>
      </c:catAx>
      <c:valAx>
        <c:axId val="570145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th-TH" sz="900" b="1"/>
            </a:pPr>
            <a:endParaRPr lang="th-TH"/>
          </a:p>
        </c:txPr>
        <c:crossAx val="5701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rgbClr val="0033CC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th-TH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 rot="0" spcFirstLastPara="1" vertOverflow="ellipsis" vert="horz" wrap="square" anchor="ctr" anchorCtr="1"/>
          <a:lstStyle/>
          <a:p>
            <a:pPr>
              <a:defRPr lang="th-TH" sz="1600" b="1" i="0" u="none" strike="noStrike" kern="1200" spc="0" baseline="0">
                <a:solidFill>
                  <a:schemeClr val="tx1"/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r>
              <a:rPr lang="en-US" sz="1600" b="1"/>
              <a:t>1. </a:t>
            </a:r>
            <a:r>
              <a:rPr lang="th-TH" sz="1600" b="1"/>
              <a:t>การรับนักศึกษา</a:t>
            </a:r>
          </a:p>
        </c:rich>
      </c:tx>
      <c:layout>
        <c:manualLayout>
          <c:xMode val="edge"/>
          <c:yMode val="edge"/>
          <c:x val="0.33192220953630497"/>
          <c:y val="3.870541879038472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5735926809702219"/>
          <c:y val="0.21826186858763424"/>
          <c:w val="0.79397151836549607"/>
          <c:h val="0.57847171988456181"/>
        </c:manualLayout>
      </c:layout>
      <c:lineChart>
        <c:grouping val="standard"/>
        <c:ser>
          <c:idx val="0"/>
          <c:order val="0"/>
          <c:spPr>
            <a:ln w="2857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trendline>
            <c:spPr>
              <a:ln w="3810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8521056773066066E-2"/>
                  <c:y val="0.1784858843864035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th-TH" sz="1600" b="1" i="0" u="none" strike="noStrike" kern="1200" baseline="0">
                      <a:solidFill>
                        <a:srgbClr val="FF0000"/>
                      </a:solidFill>
                      <a:latin typeface="Angsana New" panose="02020603050405020304" pitchFamily="18" charset="-34"/>
                      <a:ea typeface="+mn-ea"/>
                      <a:cs typeface="Angsana New" panose="02020603050405020304" pitchFamily="18" charset="-34"/>
                    </a:defRPr>
                  </a:pPr>
                  <a:endParaRPr lang="th-TH"/>
                </a:p>
              </c:txPr>
            </c:trendlineLbl>
          </c:trendline>
          <c:cat>
            <c:numRef>
              <c:f>'3.3-4ปี'!$I$25:$K$25</c:f>
              <c:numCache>
                <c:formatCode>General</c:formatCode>
                <c:ptCount val="3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</c:numCache>
            </c:numRef>
          </c:cat>
          <c:val>
            <c:numRef>
              <c:f>'3.3-4ปี'!$I$26:$K$26</c:f>
              <c:numCache>
                <c:formatCode>0.00</c:formatCode>
                <c:ptCount val="3"/>
                <c:pt idx="0">
                  <c:v>3</c:v>
                </c:pt>
                <c:pt idx="1">
                  <c:v>2.8</c:v>
                </c:pt>
                <c:pt idx="2">
                  <c:v>2.9</c:v>
                </c:pt>
              </c:numCache>
            </c:numRef>
          </c:val>
        </c:ser>
        <c:dLbls/>
        <c:marker val="1"/>
        <c:axId val="57162368"/>
        <c:axId val="57209216"/>
      </c:lineChart>
      <c:catAx>
        <c:axId val="5716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1000" b="1" i="0" u="none" strike="noStrike" kern="1200" baseline="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defRPr>
            </a:pPr>
            <a:endParaRPr lang="th-TH"/>
          </a:p>
        </c:txPr>
        <c:crossAx val="57209216"/>
        <c:crosses val="autoZero"/>
        <c:auto val="1"/>
        <c:lblAlgn val="ctr"/>
        <c:lblOffset val="100"/>
      </c:catAx>
      <c:valAx>
        <c:axId val="57209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900" b="1" i="0" u="none" strike="noStrike" kern="1200" baseline="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defRPr>
            </a:pPr>
            <a:endParaRPr lang="th-TH"/>
          </a:p>
        </c:txPr>
        <c:crossAx val="57162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rgbClr val="0033CC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ngsana New" panose="02020603050405020304" pitchFamily="18" charset="-34"/>
          <a:cs typeface="Angsana New" panose="02020603050405020304" pitchFamily="18" charset="-34"/>
        </a:defRPr>
      </a:pPr>
      <a:endParaRPr lang="th-TH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 rot="0" spcFirstLastPara="1" vertOverflow="ellipsis" vert="horz" wrap="square" anchor="ctr" anchorCtr="1"/>
          <a:lstStyle/>
          <a:p>
            <a:pPr>
              <a:defRPr lang="th-TH" sz="1600" b="1" i="0" u="none" strike="noStrike" kern="1200" spc="0" baseline="0">
                <a:solidFill>
                  <a:schemeClr val="tx1"/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r>
              <a:rPr lang="th-TH" sz="1600" b="1"/>
              <a:t>2. การเตรียมความพร้อมก่อนเข้าศึกษา</a:t>
            </a:r>
          </a:p>
        </c:rich>
      </c:tx>
      <c:layout>
        <c:manualLayout>
          <c:xMode val="edge"/>
          <c:yMode val="edge"/>
          <c:x val="0.26104205390469648"/>
          <c:y val="3.870566642609427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5735926809702219"/>
          <c:y val="0.21826186858763424"/>
          <c:w val="0.79397151836549607"/>
          <c:h val="0.57847171988456181"/>
        </c:manualLayout>
      </c:layout>
      <c:lineChart>
        <c:grouping val="standard"/>
        <c:ser>
          <c:idx val="0"/>
          <c:order val="0"/>
          <c:spPr>
            <a:ln w="2857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trendline>
            <c:spPr>
              <a:ln w="3810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8521056773066066E-2"/>
                  <c:y val="0.1784858843864035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th-TH" sz="1600" b="1" i="0" u="none" strike="noStrike" kern="1200" baseline="0">
                      <a:solidFill>
                        <a:srgbClr val="FF0000"/>
                      </a:solidFill>
                      <a:latin typeface="Angsana New" panose="02020603050405020304" pitchFamily="18" charset="-34"/>
                      <a:ea typeface="+mn-ea"/>
                      <a:cs typeface="Angsana New" panose="02020603050405020304" pitchFamily="18" charset="-34"/>
                    </a:defRPr>
                  </a:pPr>
                  <a:endParaRPr lang="th-TH"/>
                </a:p>
              </c:txPr>
            </c:trendlineLbl>
          </c:trendline>
          <c:cat>
            <c:numRef>
              <c:f>'3.3-4ปี'!$I$25:$K$25</c:f>
              <c:numCache>
                <c:formatCode>General</c:formatCode>
                <c:ptCount val="3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</c:numCache>
            </c:numRef>
          </c:cat>
          <c:val>
            <c:numRef>
              <c:f>'3.3-4ปี'!$I$27:$K$27</c:f>
              <c:numCache>
                <c:formatCode>0.00</c:formatCode>
                <c:ptCount val="3"/>
                <c:pt idx="0">
                  <c:v>3</c:v>
                </c:pt>
                <c:pt idx="1">
                  <c:v>2.5</c:v>
                </c:pt>
                <c:pt idx="2">
                  <c:v>4.5</c:v>
                </c:pt>
              </c:numCache>
            </c:numRef>
          </c:val>
        </c:ser>
        <c:dLbls/>
        <c:marker val="1"/>
        <c:axId val="57516800"/>
        <c:axId val="57518336"/>
      </c:lineChart>
      <c:catAx>
        <c:axId val="575168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1000" b="1" i="0" u="none" strike="noStrike" kern="1200" baseline="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defRPr>
            </a:pPr>
            <a:endParaRPr lang="th-TH"/>
          </a:p>
        </c:txPr>
        <c:crossAx val="57518336"/>
        <c:crosses val="autoZero"/>
        <c:auto val="1"/>
        <c:lblAlgn val="ctr"/>
        <c:lblOffset val="100"/>
      </c:catAx>
      <c:valAx>
        <c:axId val="575183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900" b="1" i="0" u="none" strike="noStrike" kern="1200" baseline="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defRPr>
            </a:pPr>
            <a:endParaRPr lang="th-TH"/>
          </a:p>
        </c:txPr>
        <c:crossAx val="57516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rgbClr val="0033CC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ngsana New" panose="02020603050405020304" pitchFamily="18" charset="-34"/>
          <a:cs typeface="Angsana New" panose="02020603050405020304" pitchFamily="18" charset="-34"/>
        </a:defRPr>
      </a:pPr>
      <a:endParaRPr lang="th-TH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 rot="0" spcFirstLastPara="1" vertOverflow="ellipsis" vert="horz" wrap="square" anchor="ctr" anchorCtr="1"/>
          <a:lstStyle/>
          <a:p>
            <a:pPr>
              <a:defRPr lang="th-TH" sz="1600" b="1" i="0" u="none" strike="noStrike" kern="1200" spc="0" baseline="0">
                <a:solidFill>
                  <a:schemeClr val="tx1"/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r>
              <a:rPr lang="th-TH" sz="1600" b="1"/>
              <a:t>3. การควบคุมการดูแลการให้คำปรึกษาวิชาการ</a:t>
            </a:r>
          </a:p>
        </c:rich>
      </c:tx>
      <c:layout>
        <c:manualLayout>
          <c:xMode val="edge"/>
          <c:yMode val="edge"/>
          <c:x val="0.18707666454026986"/>
          <c:y val="3.2496388122239157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5735926809702219"/>
          <c:y val="0.21826186858763424"/>
          <c:w val="0.79397151836549607"/>
          <c:h val="0.57847171988456181"/>
        </c:manualLayout>
      </c:layout>
      <c:lineChart>
        <c:grouping val="standard"/>
        <c:ser>
          <c:idx val="0"/>
          <c:order val="0"/>
          <c:spPr>
            <a:ln w="2857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trendline>
            <c:spPr>
              <a:ln w="3810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8521056773066066E-2"/>
                  <c:y val="0.1784858843864035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th-TH" sz="1600" b="1" i="0" u="none" strike="noStrike" kern="1200" baseline="0">
                      <a:solidFill>
                        <a:srgbClr val="FF0000"/>
                      </a:solidFill>
                      <a:latin typeface="Angsana New" panose="02020603050405020304" pitchFamily="18" charset="-34"/>
                      <a:ea typeface="+mn-ea"/>
                      <a:cs typeface="Angsana New" panose="02020603050405020304" pitchFamily="18" charset="-34"/>
                    </a:defRPr>
                  </a:pPr>
                  <a:endParaRPr lang="th-TH"/>
                </a:p>
              </c:txPr>
            </c:trendlineLbl>
          </c:trendline>
          <c:cat>
            <c:numRef>
              <c:f>'3.3-4ปี'!$I$25:$K$25</c:f>
              <c:numCache>
                <c:formatCode>General</c:formatCode>
                <c:ptCount val="3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</c:numCache>
            </c:numRef>
          </c:cat>
          <c:val>
            <c:numRef>
              <c:f>'3.3-4ปี'!$I$28:$K$28</c:f>
              <c:numCache>
                <c:formatCode>0.00</c:formatCode>
                <c:ptCount val="3"/>
                <c:pt idx="0">
                  <c:v>3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</c:ser>
        <c:dLbls/>
        <c:marker val="1"/>
        <c:axId val="58022528"/>
        <c:axId val="58036608"/>
      </c:lineChart>
      <c:catAx>
        <c:axId val="580225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1000" b="1" i="0" u="none" strike="noStrike" kern="1200" baseline="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defRPr>
            </a:pPr>
            <a:endParaRPr lang="th-TH"/>
          </a:p>
        </c:txPr>
        <c:crossAx val="58036608"/>
        <c:crosses val="autoZero"/>
        <c:auto val="1"/>
        <c:lblAlgn val="ctr"/>
        <c:lblOffset val="100"/>
      </c:catAx>
      <c:valAx>
        <c:axId val="580366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900" b="1" i="0" u="none" strike="noStrike" kern="1200" baseline="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defRPr>
            </a:pPr>
            <a:endParaRPr lang="th-TH"/>
          </a:p>
        </c:txPr>
        <c:crossAx val="5802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rgbClr val="0033CC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ngsana New" panose="02020603050405020304" pitchFamily="18" charset="-34"/>
          <a:cs typeface="Angsana New" panose="02020603050405020304" pitchFamily="18" charset="-34"/>
        </a:defRPr>
      </a:pPr>
      <a:endParaRPr lang="th-TH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 rot="0" spcFirstLastPara="1" vertOverflow="ellipsis" vert="horz" wrap="square" anchor="ctr" anchorCtr="1"/>
          <a:lstStyle/>
          <a:p>
            <a:pPr>
              <a:defRPr lang="th-TH" sz="1600" b="1" i="0" u="none" strike="noStrike" kern="1200" spc="0" baseline="0">
                <a:solidFill>
                  <a:schemeClr val="tx1"/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r>
              <a:rPr lang="th-TH" sz="1600" b="1"/>
              <a:t>4. การพัฒนาศักยภาพนักศึกษา</a:t>
            </a:r>
            <a:r>
              <a:rPr lang="en-US" sz="1600" b="1"/>
              <a:t> </a:t>
            </a:r>
            <a:r>
              <a:rPr lang="th-TH" sz="1600" b="1"/>
              <a:t>การเรียนรู้ในศตวรรษที่ 21</a:t>
            </a:r>
          </a:p>
        </c:rich>
      </c:tx>
      <c:layout>
        <c:manualLayout>
          <c:xMode val="edge"/>
          <c:yMode val="edge"/>
          <c:x val="0.15464212404065933"/>
          <c:y val="3.928305937041241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5735926809702219"/>
          <c:y val="0.21826186858763424"/>
          <c:w val="0.79397151836549607"/>
          <c:h val="0.57847171988456181"/>
        </c:manualLayout>
      </c:layout>
      <c:lineChart>
        <c:grouping val="standard"/>
        <c:ser>
          <c:idx val="0"/>
          <c:order val="0"/>
          <c:spPr>
            <a:ln w="2857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trendline>
            <c:spPr>
              <a:ln w="3810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8521056773066066E-2"/>
                  <c:y val="0.1784858843864035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th-TH" sz="1600" b="1" i="0" u="none" strike="noStrike" kern="1200" baseline="0">
                      <a:solidFill>
                        <a:srgbClr val="FF0000"/>
                      </a:solidFill>
                      <a:latin typeface="Angsana New" panose="02020603050405020304" pitchFamily="18" charset="-34"/>
                      <a:ea typeface="+mn-ea"/>
                      <a:cs typeface="Angsana New" panose="02020603050405020304" pitchFamily="18" charset="-34"/>
                    </a:defRPr>
                  </a:pPr>
                  <a:endParaRPr lang="th-TH"/>
                </a:p>
              </c:txPr>
            </c:trendlineLbl>
          </c:trendline>
          <c:cat>
            <c:numRef>
              <c:f>'3.3-4ปี'!$I$25:$K$25</c:f>
              <c:numCache>
                <c:formatCode>General</c:formatCode>
                <c:ptCount val="3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</c:numCache>
            </c:numRef>
          </c:cat>
          <c:val>
            <c:numRef>
              <c:f>'3.3-4ปี'!$I$29:$K$29</c:f>
              <c:numCache>
                <c:formatCode>0.00</c:formatCode>
                <c:ptCount val="3"/>
                <c:pt idx="0">
                  <c:v>3</c:v>
                </c:pt>
                <c:pt idx="1">
                  <c:v>1.5</c:v>
                </c:pt>
                <c:pt idx="2">
                  <c:v>1.9</c:v>
                </c:pt>
              </c:numCache>
            </c:numRef>
          </c:val>
        </c:ser>
        <c:dLbls/>
        <c:marker val="1"/>
        <c:axId val="57934592"/>
        <c:axId val="57936128"/>
      </c:lineChart>
      <c:catAx>
        <c:axId val="579345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1000" b="1" i="0" u="none" strike="noStrike" kern="1200" baseline="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defRPr>
            </a:pPr>
            <a:endParaRPr lang="th-TH"/>
          </a:p>
        </c:txPr>
        <c:crossAx val="57936128"/>
        <c:crosses val="autoZero"/>
        <c:auto val="1"/>
        <c:lblAlgn val="ctr"/>
        <c:lblOffset val="100"/>
      </c:catAx>
      <c:valAx>
        <c:axId val="579361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900" b="1" i="0" u="none" strike="noStrike" kern="1200" baseline="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defRPr>
            </a:pPr>
            <a:endParaRPr lang="th-TH"/>
          </a:p>
        </c:txPr>
        <c:crossAx val="5793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rgbClr val="0033CC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ngsana New" panose="02020603050405020304" pitchFamily="18" charset="-34"/>
          <a:cs typeface="Angsana New" panose="02020603050405020304" pitchFamily="18" charset="-34"/>
        </a:defRPr>
      </a:pPr>
      <a:endParaRPr lang="th-TH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 rot="0" spcFirstLastPara="1" vertOverflow="ellipsis" vert="horz" wrap="square" anchor="ctr" anchorCtr="1"/>
          <a:lstStyle/>
          <a:p>
            <a:pPr>
              <a:defRPr lang="th-TH" sz="1600" b="1" i="0" u="none" strike="noStrike" kern="1200" spc="0" baseline="0">
                <a:solidFill>
                  <a:srgbClr val="FF0000"/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r>
              <a:rPr lang="th-TH" sz="1600" b="1">
                <a:solidFill>
                  <a:srgbClr val="FF0000"/>
                </a:solidFill>
              </a:rPr>
              <a:t>5. การควบคุมการให้คำปรึกษาวิทยานิพนธ์แก่บัณฑิตศึกษา</a:t>
            </a:r>
          </a:p>
        </c:rich>
      </c:tx>
      <c:layout>
        <c:manualLayout>
          <c:xMode val="edge"/>
          <c:yMode val="edge"/>
          <c:x val="0.14275985680145487"/>
          <c:y val="2.0077884551919379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5735926809702219"/>
          <c:y val="0.21826186858763424"/>
          <c:w val="0.79397151836549607"/>
          <c:h val="0.57847171988456181"/>
        </c:manualLayout>
      </c:layout>
      <c:lineChart>
        <c:grouping val="standard"/>
        <c:ser>
          <c:idx val="0"/>
          <c:order val="0"/>
          <c:spPr>
            <a:ln w="2857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trendline>
            <c:spPr>
              <a:ln w="3810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8521056773066066E-2"/>
                  <c:y val="0.1784858843864035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th-TH" sz="1600" b="1" i="0" u="none" strike="noStrike" kern="1200" baseline="0">
                      <a:solidFill>
                        <a:srgbClr val="FF0000"/>
                      </a:solidFill>
                      <a:latin typeface="Angsana New" panose="02020603050405020304" pitchFamily="18" charset="-34"/>
                      <a:ea typeface="+mn-ea"/>
                      <a:cs typeface="Angsana New" panose="02020603050405020304" pitchFamily="18" charset="-34"/>
                    </a:defRPr>
                  </a:pPr>
                  <a:endParaRPr lang="th-TH"/>
                </a:p>
              </c:txPr>
            </c:trendlineLbl>
          </c:trendline>
          <c:cat>
            <c:numRef>
              <c:f>'3.3-4ปี'!$I$25:$K$25</c:f>
              <c:numCache>
                <c:formatCode>General</c:formatCode>
                <c:ptCount val="3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</c:numCache>
            </c:numRef>
          </c:cat>
          <c:val>
            <c:numRef>
              <c:f>'3.3-4ปี'!$I$30:$K$30</c:f>
              <c:numCache>
                <c:formatCode>0.00</c:formatCode>
                <c:ptCount val="3"/>
                <c:pt idx="0">
                  <c:v>4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</c:ser>
        <c:dLbls/>
        <c:marker val="1"/>
        <c:axId val="57973376"/>
        <c:axId val="57979264"/>
      </c:lineChart>
      <c:catAx>
        <c:axId val="579733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1000" b="1" i="0" u="none" strike="noStrike" kern="1200" baseline="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defRPr>
            </a:pPr>
            <a:endParaRPr lang="th-TH"/>
          </a:p>
        </c:txPr>
        <c:crossAx val="57979264"/>
        <c:crosses val="autoZero"/>
        <c:auto val="1"/>
        <c:lblAlgn val="ctr"/>
        <c:lblOffset val="100"/>
      </c:catAx>
      <c:valAx>
        <c:axId val="57979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900" b="1" i="0" u="none" strike="noStrike" kern="1200" baseline="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defRPr>
            </a:pPr>
            <a:endParaRPr lang="th-TH"/>
          </a:p>
        </c:txPr>
        <c:crossAx val="5797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rgbClr val="0033CC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ngsana New" panose="02020603050405020304" pitchFamily="18" charset="-34"/>
          <a:cs typeface="Angsana New" panose="02020603050405020304" pitchFamily="18" charset="-34"/>
        </a:defRPr>
      </a:pPr>
      <a:endParaRPr lang="th-TH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 rot="0" spcFirstLastPara="1" vertOverflow="ellipsis" vert="horz" wrap="square" anchor="ctr" anchorCtr="1"/>
          <a:lstStyle/>
          <a:p>
            <a:pPr>
              <a:defRPr lang="th-TH" sz="1800" b="1" i="0" u="none" strike="noStrike" kern="1200" spc="0" baseline="0">
                <a:solidFill>
                  <a:srgbClr val="000099"/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r>
              <a:rPr lang="th-TH" sz="1800" b="1">
                <a:solidFill>
                  <a:srgbClr val="000099"/>
                </a:solidFill>
              </a:rPr>
              <a:t>คะแนนความพึงพอใจเฉลี่ย</a:t>
            </a:r>
          </a:p>
        </c:rich>
      </c:tx>
      <c:layout>
        <c:manualLayout>
          <c:xMode val="edge"/>
          <c:yMode val="edge"/>
          <c:x val="0.33452816882338071"/>
          <c:y val="3.8705911749127068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5735926809702219"/>
          <c:y val="0.21826186858763424"/>
          <c:w val="0.79397151836549607"/>
          <c:h val="0.57847171988456181"/>
        </c:manualLayout>
      </c:layout>
      <c:lineChart>
        <c:grouping val="standard"/>
        <c:ser>
          <c:idx val="0"/>
          <c:order val="0"/>
          <c:spPr>
            <a:ln w="2857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trendline>
            <c:spPr>
              <a:ln w="3810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8521056773066066E-2"/>
                  <c:y val="0.1784858843864035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th-TH" sz="1600" b="1" i="0" u="none" strike="noStrike" kern="1200" baseline="0">
                      <a:solidFill>
                        <a:srgbClr val="FF0000"/>
                      </a:solidFill>
                      <a:latin typeface="Angsana New" panose="02020603050405020304" pitchFamily="18" charset="-34"/>
                      <a:ea typeface="+mn-ea"/>
                      <a:cs typeface="Angsana New" panose="02020603050405020304" pitchFamily="18" charset="-34"/>
                    </a:defRPr>
                  </a:pPr>
                  <a:endParaRPr lang="th-TH"/>
                </a:p>
              </c:txPr>
            </c:trendlineLbl>
          </c:trendline>
          <c:cat>
            <c:numRef>
              <c:f>'3.3-4ปี'!$I$25:$K$25</c:f>
              <c:numCache>
                <c:formatCode>General</c:formatCode>
                <c:ptCount val="3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</c:numCache>
            </c:numRef>
          </c:cat>
          <c:val>
            <c:numRef>
              <c:f>'3.3-4ปี'!$I$31:$K$31</c:f>
              <c:numCache>
                <c:formatCode>0.00</c:formatCode>
                <c:ptCount val="3"/>
                <c:pt idx="0">
                  <c:v>3.2</c:v>
                </c:pt>
                <c:pt idx="1">
                  <c:v>2.16</c:v>
                </c:pt>
                <c:pt idx="2">
                  <c:v>3.46</c:v>
                </c:pt>
              </c:numCache>
            </c:numRef>
          </c:val>
        </c:ser>
        <c:dLbls/>
        <c:marker val="1"/>
        <c:axId val="58086144"/>
        <c:axId val="58087680"/>
      </c:lineChart>
      <c:catAx>
        <c:axId val="5808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1000" b="1" i="0" u="none" strike="noStrike" kern="1200" baseline="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defRPr>
            </a:pPr>
            <a:endParaRPr lang="th-TH"/>
          </a:p>
        </c:txPr>
        <c:crossAx val="58087680"/>
        <c:crosses val="autoZero"/>
        <c:auto val="1"/>
        <c:lblAlgn val="ctr"/>
        <c:lblOffset val="100"/>
      </c:catAx>
      <c:valAx>
        <c:axId val="5808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th-TH" sz="900" b="1" i="0" u="none" strike="noStrike" kern="1200" baseline="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defRPr>
            </a:pPr>
            <a:endParaRPr lang="th-TH"/>
          </a:p>
        </c:txPr>
        <c:crossAx val="5808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rgbClr val="0033CC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ngsana New" panose="02020603050405020304" pitchFamily="18" charset="-34"/>
          <a:cs typeface="Angsana New" panose="02020603050405020304" pitchFamily="18" charset="-34"/>
        </a:defRPr>
      </a:pPr>
      <a:endParaRPr lang="th-TH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5362371748985917"/>
          <c:y val="0.19947591228515787"/>
          <c:w val="0.79231567644953682"/>
          <c:h val="0.54764737689428344"/>
        </c:manualLayout>
      </c:layout>
      <c:lineChart>
        <c:grouping val="standard"/>
        <c:ser>
          <c:idx val="0"/>
          <c:order val="0"/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linear"/>
            <c:dispRSqr val="1"/>
            <c:dispEq val="1"/>
            <c:trendlineLbl>
              <c:layout>
                <c:manualLayout>
                  <c:x val="5.9951894622469956E-2"/>
                  <c:y val="0.242035704684670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lang="th-TH" sz="800">
                      <a:solidFill>
                        <a:srgbClr val="FF0000"/>
                      </a:solidFill>
                    </a:defRPr>
                  </a:pPr>
                  <a:endParaRPr lang="th-TH"/>
                </a:p>
              </c:txPr>
            </c:trendlineLbl>
          </c:trendline>
          <c:cat>
            <c:numRef>
              <c:f>'3.3-5ปี'!$A$6:$A$9</c:f>
              <c:numCache>
                <c:formatCode>General</c:formatCode>
                <c:ptCount val="4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  <c:pt idx="3">
                  <c:v>2556</c:v>
                </c:pt>
              </c:numCache>
            </c:numRef>
          </c:cat>
          <c:val>
            <c:numRef>
              <c:f>'3.3-5ปี'!$M$6:$M$9</c:f>
              <c:numCache>
                <c:formatCode>0.00</c:formatCode>
                <c:ptCount val="4"/>
                <c:pt idx="0">
                  <c:v>90.625</c:v>
                </c:pt>
                <c:pt idx="1">
                  <c:v>65.957446808510639</c:v>
                </c:pt>
                <c:pt idx="2">
                  <c:v>84.615384615384613</c:v>
                </c:pt>
                <c:pt idx="3">
                  <c:v>71.428571428571431</c:v>
                </c:pt>
              </c:numCache>
            </c:numRef>
          </c:val>
        </c:ser>
        <c:dLbls/>
        <c:marker val="1"/>
        <c:axId val="59210368"/>
        <c:axId val="59212160"/>
      </c:lineChart>
      <c:catAx>
        <c:axId val="5921036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th-TH" sz="1400">
                <a:latin typeface="Angsana New" pitchFamily="18" charset="-34"/>
                <a:cs typeface="Angsana New" pitchFamily="18" charset="-34"/>
              </a:defRPr>
            </a:pPr>
            <a:endParaRPr lang="th-TH"/>
          </a:p>
        </c:txPr>
        <c:crossAx val="59212160"/>
        <c:crosses val="autoZero"/>
        <c:auto val="1"/>
        <c:lblAlgn val="ctr"/>
        <c:lblOffset val="100"/>
      </c:catAx>
      <c:valAx>
        <c:axId val="59212160"/>
        <c:scaling>
          <c:orientation val="minMax"/>
        </c:scaling>
        <c:axPos val="l"/>
        <c:majorGridlines>
          <c:spPr>
            <a:ln>
              <a:solidFill>
                <a:schemeClr val="bg2"/>
              </a:solidFill>
            </a:ln>
          </c:spPr>
        </c:majorGridlines>
        <c:numFmt formatCode="0.00" sourceLinked="1"/>
        <c:tickLblPos val="nextTo"/>
        <c:txPr>
          <a:bodyPr/>
          <a:lstStyle/>
          <a:p>
            <a:pPr>
              <a:defRPr lang="th-TH" sz="800"/>
            </a:pPr>
            <a:endParaRPr lang="th-TH"/>
          </a:p>
        </c:txPr>
        <c:crossAx val="59210368"/>
        <c:crosses val="autoZero"/>
        <c:crossBetween val="between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97154</xdr:colOff>
      <xdr:row>13</xdr:row>
      <xdr:rowOff>22385</xdr:rowOff>
    </xdr:from>
    <xdr:to>
      <xdr:col>7</xdr:col>
      <xdr:colOff>457200</xdr:colOff>
      <xdr:row>22</xdr:row>
      <xdr:rowOff>91440</xdr:rowOff>
    </xdr:to>
    <xdr:graphicFrame macro="">
      <xdr:nvGraphicFramePr>
        <xdr:cNvPr id="2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152400</xdr:colOff>
      <xdr:row>12</xdr:row>
      <xdr:rowOff>272940</xdr:rowOff>
    </xdr:from>
    <xdr:to>
      <xdr:col>14</xdr:col>
      <xdr:colOff>15241</xdr:colOff>
      <xdr:row>22</xdr:row>
      <xdr:rowOff>105728</xdr:rowOff>
    </xdr:to>
    <xdr:graphicFrame macro="">
      <xdr:nvGraphicFramePr>
        <xdr:cNvPr id="3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144781</xdr:colOff>
      <xdr:row>31</xdr:row>
      <xdr:rowOff>182245</xdr:rowOff>
    </xdr:from>
    <xdr:to>
      <xdr:col>7</xdr:col>
      <xdr:colOff>469901</xdr:colOff>
      <xdr:row>38</xdr:row>
      <xdr:rowOff>139700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63500</xdr:colOff>
      <xdr:row>31</xdr:row>
      <xdr:rowOff>190500</xdr:rowOff>
    </xdr:from>
    <xdr:to>
      <xdr:col>13</xdr:col>
      <xdr:colOff>1137919</xdr:colOff>
      <xdr:row>38</xdr:row>
      <xdr:rowOff>147955</xdr:rowOff>
    </xdr:to>
    <xdr:graphicFrame macro="">
      <xdr:nvGraphicFramePr>
        <xdr:cNvPr id="5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111761</xdr:colOff>
      <xdr:row>38</xdr:row>
      <xdr:rowOff>255905</xdr:rowOff>
    </xdr:from>
    <xdr:to>
      <xdr:col>7</xdr:col>
      <xdr:colOff>441961</xdr:colOff>
      <xdr:row>46</xdr:row>
      <xdr:rowOff>106680</xdr:rowOff>
    </xdr:to>
    <xdr:graphicFrame macro="">
      <xdr:nvGraphicFramePr>
        <xdr:cNvPr id="6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60960</xdr:colOff>
      <xdr:row>38</xdr:row>
      <xdr:rowOff>264161</xdr:rowOff>
    </xdr:from>
    <xdr:to>
      <xdr:col>13</xdr:col>
      <xdr:colOff>1135379</xdr:colOff>
      <xdr:row>46</xdr:row>
      <xdr:rowOff>106680</xdr:rowOff>
    </xdr:to>
    <xdr:graphicFrame macro="">
      <xdr:nvGraphicFramePr>
        <xdr:cNvPr id="7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91440</xdr:colOff>
      <xdr:row>47</xdr:row>
      <xdr:rowOff>15240</xdr:rowOff>
    </xdr:from>
    <xdr:to>
      <xdr:col>7</xdr:col>
      <xdr:colOff>421640</xdr:colOff>
      <xdr:row>54</xdr:row>
      <xdr:rowOff>140335</xdr:rowOff>
    </xdr:to>
    <xdr:graphicFrame macro="">
      <xdr:nvGraphicFramePr>
        <xdr:cNvPr id="8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40639</xdr:colOff>
      <xdr:row>47</xdr:row>
      <xdr:rowOff>23496</xdr:rowOff>
    </xdr:from>
    <xdr:to>
      <xdr:col>13</xdr:col>
      <xdr:colOff>1115058</xdr:colOff>
      <xdr:row>54</xdr:row>
      <xdr:rowOff>140335</xdr:rowOff>
    </xdr:to>
    <xdr:graphicFrame macro="">
      <xdr:nvGraphicFramePr>
        <xdr:cNvPr id="9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16</xdr:row>
      <xdr:rowOff>238125</xdr:rowOff>
    </xdr:from>
    <xdr:to>
      <xdr:col>5</xdr:col>
      <xdr:colOff>130969</xdr:colOff>
      <xdr:row>23</xdr:row>
      <xdr:rowOff>19049</xdr:rowOff>
    </xdr:to>
    <xdr:graphicFrame macro="">
      <xdr:nvGraphicFramePr>
        <xdr:cNvPr id="2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242623</xdr:colOff>
      <xdr:row>16</xdr:row>
      <xdr:rowOff>279137</xdr:rowOff>
    </xdr:from>
    <xdr:to>
      <xdr:col>10</xdr:col>
      <xdr:colOff>402168</xdr:colOff>
      <xdr:row>23</xdr:row>
      <xdr:rowOff>3970</xdr:rowOff>
    </xdr:to>
    <xdr:graphicFrame macro="">
      <xdr:nvGraphicFramePr>
        <xdr:cNvPr id="3" name="แผนภูมิ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95251</xdr:colOff>
      <xdr:row>16</xdr:row>
      <xdr:rowOff>265905</xdr:rowOff>
    </xdr:from>
    <xdr:to>
      <xdr:col>14</xdr:col>
      <xdr:colOff>1852</xdr:colOff>
      <xdr:row>23</xdr:row>
      <xdr:rowOff>5291</xdr:rowOff>
    </xdr:to>
    <xdr:graphicFrame macro="">
      <xdr:nvGraphicFramePr>
        <xdr:cNvPr id="4" name="แผนภูมิ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0.35677</cdr:x>
      <cdr:y>0.0107</cdr:y>
    </cdr:from>
    <cdr:to>
      <cdr:x>0.64844</cdr:x>
      <cdr:y>0.17112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04925" y="19051"/>
          <a:ext cx="10668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th-TH" sz="1100"/>
            <a:t>อัตราการคงอยู่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0.13208</cdr:x>
      <cdr:y>0.03296</cdr:y>
    </cdr:from>
    <cdr:to>
      <cdr:x>0.86009</cdr:x>
      <cdr:y>0.19614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2891" y="52498"/>
          <a:ext cx="1945071" cy="259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th-TH" sz="1100"/>
            <a:t>อัตราการสำเร็จการศึกษาตามกำหนด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0.16176</cdr:x>
      <cdr:y>0.05185</cdr:y>
    </cdr:from>
    <cdr:to>
      <cdr:x>0.93697</cdr:x>
      <cdr:y>0.17316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8390" y="83344"/>
          <a:ext cx="2196702" cy="194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th-TH" sz="1100"/>
            <a:t>ความพึงพอใจต่อการบริหารหลักสูตร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83005</xdr:colOff>
      <xdr:row>34</xdr:row>
      <xdr:rowOff>108857</xdr:rowOff>
    </xdr:from>
    <xdr:to>
      <xdr:col>2</xdr:col>
      <xdr:colOff>685800</xdr:colOff>
      <xdr:row>40</xdr:row>
      <xdr:rowOff>43543</xdr:rowOff>
    </xdr:to>
    <xdr:graphicFrame macro="">
      <xdr:nvGraphicFramePr>
        <xdr:cNvPr id="2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731157</xdr:colOff>
      <xdr:row>34</xdr:row>
      <xdr:rowOff>132443</xdr:rowOff>
    </xdr:from>
    <xdr:to>
      <xdr:col>6</xdr:col>
      <xdr:colOff>609600</xdr:colOff>
      <xdr:row>40</xdr:row>
      <xdr:rowOff>67130</xdr:rowOff>
    </xdr:to>
    <xdr:graphicFrame macro="">
      <xdr:nvGraphicFramePr>
        <xdr:cNvPr id="3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682173</xdr:colOff>
      <xdr:row>34</xdr:row>
      <xdr:rowOff>130629</xdr:rowOff>
    </xdr:from>
    <xdr:to>
      <xdr:col>10</xdr:col>
      <xdr:colOff>406401</xdr:colOff>
      <xdr:row>40</xdr:row>
      <xdr:rowOff>65315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102053</xdr:colOff>
      <xdr:row>40</xdr:row>
      <xdr:rowOff>99786</xdr:rowOff>
    </xdr:from>
    <xdr:to>
      <xdr:col>2</xdr:col>
      <xdr:colOff>685801</xdr:colOff>
      <xdr:row>46</xdr:row>
      <xdr:rowOff>36287</xdr:rowOff>
    </xdr:to>
    <xdr:graphicFrame macro="">
      <xdr:nvGraphicFramePr>
        <xdr:cNvPr id="5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15239</xdr:colOff>
      <xdr:row>40</xdr:row>
      <xdr:rowOff>106680</xdr:rowOff>
    </xdr:from>
    <xdr:to>
      <xdr:col>6</xdr:col>
      <xdr:colOff>619124</xdr:colOff>
      <xdr:row>46</xdr:row>
      <xdr:rowOff>43181</xdr:rowOff>
    </xdr:to>
    <xdr:graphicFrame macro="">
      <xdr:nvGraphicFramePr>
        <xdr:cNvPr id="6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685800</xdr:colOff>
      <xdr:row>40</xdr:row>
      <xdr:rowOff>104775</xdr:rowOff>
    </xdr:from>
    <xdr:to>
      <xdr:col>10</xdr:col>
      <xdr:colOff>422910</xdr:colOff>
      <xdr:row>46</xdr:row>
      <xdr:rowOff>41276</xdr:rowOff>
    </xdr:to>
    <xdr:graphicFrame macro="">
      <xdr:nvGraphicFramePr>
        <xdr:cNvPr id="7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1114425</xdr:colOff>
      <xdr:row>46</xdr:row>
      <xdr:rowOff>95250</xdr:rowOff>
    </xdr:from>
    <xdr:to>
      <xdr:col>8</xdr:col>
      <xdr:colOff>228600</xdr:colOff>
      <xdr:row>52</xdr:row>
      <xdr:rowOff>219075</xdr:rowOff>
    </xdr:to>
    <xdr:graphicFrame macro="">
      <xdr:nvGraphicFramePr>
        <xdr:cNvPr id="8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1-23&#3617;&#3588;60/0-&#3648;&#3629;&#3585;&#3626;&#3634;&#3619;&#3610;&#3619;&#3619;&#3618;&#3634;&#3618;&#3611;&#3637;2560/9-SAR&#3626;&#3640;&#3619;&#3636;&#3609;&#3607;&#3619;&#3660;30-31&#3617;&#3637;&#3588;60/&#3648;&#3629;&#3585;&#3626;&#3634;&#3619;&#3585;&#3634;&#3619;&#3610;&#3619;&#3619;&#3618;&#3634;&#3618;SAR/&#3648;&#3629;&#3585;&#3626;&#3634;&#3619;&#3649;&#3592;&#3585;/&#3612;&#3621;&#3611;&#3619;&#3632;&#3648;&#3617;&#3636;&#3609;SAR&#3627;&#3621;&#3633;&#3585;&#3626;&#3641;&#3605;&#3619;-V3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Rหลักสูตร"/>
      <sheetName val="ส2"/>
      <sheetName val="แบบติดตาม"/>
      <sheetName val="ตบช2.2(ป,ตรี)"/>
      <sheetName val="ตบช2.2(ป.โท)"/>
      <sheetName val="ตบช2.2(ป.เอก)"/>
      <sheetName val="3.3"/>
      <sheetName val="ตบช3.3-4ปี"/>
      <sheetName val="ตบช3.3-5ปี"/>
    </sheetNames>
    <sheetDataSet>
      <sheetData sheetId="0" refreshError="1">
        <row r="1">
          <cell r="G1">
            <v>2559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zoomScale="140" zoomScaleNormal="140" workbookViewId="0">
      <selection activeCell="J6" sqref="J6:K6"/>
    </sheetView>
  </sheetViews>
  <sheetFormatPr defaultColWidth="9.140625" defaultRowHeight="23.25"/>
  <cols>
    <col min="1" max="1" width="11" style="1" customWidth="1"/>
    <col min="2" max="4" width="9.140625" style="1"/>
    <col min="5" max="5" width="5.28515625" style="1" customWidth="1"/>
    <col min="6" max="8" width="9.140625" style="1"/>
    <col min="9" max="9" width="11" style="1" customWidth="1"/>
    <col min="10" max="10" width="8" style="1" customWidth="1"/>
    <col min="11" max="11" width="13.85546875" style="1" customWidth="1"/>
    <col min="12" max="16384" width="9.140625" style="1"/>
  </cols>
  <sheetData>
    <row r="1" spans="1:11">
      <c r="A1" s="402" t="s">
        <v>177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</row>
    <row r="3" spans="1:11">
      <c r="A3" s="2" t="s">
        <v>157</v>
      </c>
    </row>
    <row r="5" spans="1:11">
      <c r="A5" s="2" t="s">
        <v>158</v>
      </c>
    </row>
    <row r="6" spans="1:11">
      <c r="A6" s="59" t="s">
        <v>159</v>
      </c>
      <c r="B6" s="405" t="s">
        <v>568</v>
      </c>
      <c r="C6" s="406"/>
      <c r="D6" s="406"/>
      <c r="E6" s="59" t="s">
        <v>160</v>
      </c>
      <c r="F6" s="405" t="s">
        <v>569</v>
      </c>
      <c r="G6" s="405"/>
      <c r="H6" s="405"/>
      <c r="I6" s="59" t="s">
        <v>69</v>
      </c>
      <c r="J6" s="405" t="s">
        <v>567</v>
      </c>
      <c r="K6" s="405"/>
    </row>
    <row r="7" spans="1:11">
      <c r="A7" s="61" t="s">
        <v>247</v>
      </c>
      <c r="B7" s="64">
        <v>2560</v>
      </c>
      <c r="D7" s="404" t="s">
        <v>330</v>
      </c>
      <c r="E7" s="401"/>
      <c r="F7" s="393" t="s">
        <v>231</v>
      </c>
      <c r="G7" s="393"/>
    </row>
    <row r="9" spans="1:11">
      <c r="A9" s="66" t="s">
        <v>161</v>
      </c>
      <c r="B9" s="394" t="s">
        <v>162</v>
      </c>
      <c r="C9" s="395"/>
      <c r="D9" s="395"/>
      <c r="E9" s="395"/>
      <c r="F9" s="395"/>
      <c r="G9" s="395"/>
      <c r="H9" s="395"/>
      <c r="I9" s="395"/>
      <c r="J9" s="396" t="s">
        <v>110</v>
      </c>
      <c r="K9" s="397"/>
    </row>
    <row r="10" spans="1:11">
      <c r="A10" s="407" t="s">
        <v>163</v>
      </c>
      <c r="B10" s="388" t="s">
        <v>164</v>
      </c>
      <c r="C10" s="389"/>
      <c r="D10" s="389"/>
      <c r="E10" s="389"/>
      <c r="F10" s="389"/>
      <c r="G10" s="389"/>
      <c r="H10" s="389"/>
      <c r="I10" s="389"/>
      <c r="J10" s="390" t="s">
        <v>213</v>
      </c>
      <c r="K10" s="391"/>
    </row>
    <row r="11" spans="1:11">
      <c r="A11" s="408"/>
      <c r="B11" s="388" t="s">
        <v>165</v>
      </c>
      <c r="C11" s="389"/>
      <c r="D11" s="389"/>
      <c r="E11" s="389"/>
      <c r="F11" s="389"/>
      <c r="G11" s="389"/>
      <c r="H11" s="389"/>
      <c r="I11" s="389"/>
      <c r="J11" s="390" t="s">
        <v>213</v>
      </c>
      <c r="K11" s="391"/>
    </row>
    <row r="12" spans="1:11">
      <c r="A12" s="3"/>
      <c r="B12" s="388" t="s">
        <v>166</v>
      </c>
      <c r="C12" s="389"/>
      <c r="D12" s="389"/>
      <c r="E12" s="389"/>
      <c r="F12" s="389"/>
      <c r="G12" s="389"/>
      <c r="H12" s="389"/>
      <c r="I12" s="389"/>
      <c r="J12" s="390" t="s">
        <v>214</v>
      </c>
      <c r="K12" s="391"/>
    </row>
    <row r="13" spans="1:11">
      <c r="A13" s="3"/>
      <c r="B13" s="388" t="s">
        <v>167</v>
      </c>
      <c r="C13" s="389"/>
      <c r="D13" s="389"/>
      <c r="E13" s="389"/>
      <c r="F13" s="389"/>
      <c r="G13" s="389"/>
      <c r="H13" s="389"/>
      <c r="I13" s="389"/>
      <c r="J13" s="390" t="s">
        <v>214</v>
      </c>
      <c r="K13" s="391"/>
    </row>
    <row r="14" spans="1:11">
      <c r="A14" s="3"/>
      <c r="B14" s="388" t="s">
        <v>168</v>
      </c>
      <c r="C14" s="389"/>
      <c r="D14" s="389"/>
      <c r="E14" s="389"/>
      <c r="F14" s="389"/>
      <c r="G14" s="389"/>
      <c r="H14" s="389"/>
      <c r="I14" s="389"/>
      <c r="J14" s="390" t="s">
        <v>214</v>
      </c>
      <c r="K14" s="391"/>
    </row>
    <row r="15" spans="1:11">
      <c r="A15" s="3"/>
      <c r="B15" s="388" t="s">
        <v>169</v>
      </c>
      <c r="C15" s="389"/>
      <c r="D15" s="389"/>
      <c r="E15" s="389"/>
      <c r="F15" s="389"/>
      <c r="G15" s="389"/>
      <c r="H15" s="389"/>
      <c r="I15" s="389"/>
      <c r="J15" s="390" t="s">
        <v>214</v>
      </c>
      <c r="K15" s="391"/>
    </row>
    <row r="16" spans="1:11">
      <c r="A16" s="3"/>
      <c r="B16" s="388" t="s">
        <v>170</v>
      </c>
      <c r="C16" s="389"/>
      <c r="D16" s="389"/>
      <c r="E16" s="389"/>
      <c r="F16" s="389"/>
      <c r="G16" s="389"/>
      <c r="H16" s="389"/>
      <c r="I16" s="389"/>
      <c r="J16" s="390" t="s">
        <v>214</v>
      </c>
      <c r="K16" s="391"/>
    </row>
    <row r="17" spans="1:11">
      <c r="A17" s="3"/>
      <c r="B17" s="388" t="s">
        <v>171</v>
      </c>
      <c r="C17" s="389"/>
      <c r="D17" s="389"/>
      <c r="E17" s="389"/>
      <c r="F17" s="389"/>
      <c r="G17" s="389"/>
      <c r="H17" s="389"/>
      <c r="I17" s="389"/>
      <c r="J17" s="390" t="s">
        <v>214</v>
      </c>
      <c r="K17" s="391"/>
    </row>
    <row r="18" spans="1:11">
      <c r="A18" s="3"/>
      <c r="B18" s="388" t="s">
        <v>172</v>
      </c>
      <c r="C18" s="389"/>
      <c r="D18" s="389"/>
      <c r="E18" s="389"/>
      <c r="F18" s="389"/>
      <c r="G18" s="389"/>
      <c r="H18" s="389"/>
      <c r="I18" s="389"/>
      <c r="J18" s="390" t="s">
        <v>214</v>
      </c>
      <c r="K18" s="391"/>
    </row>
    <row r="19" spans="1:11" ht="41.25" customHeight="1">
      <c r="A19" s="3"/>
      <c r="B19" s="388" t="s">
        <v>173</v>
      </c>
      <c r="C19" s="389"/>
      <c r="D19" s="389"/>
      <c r="E19" s="389"/>
      <c r="F19" s="389"/>
      <c r="G19" s="389"/>
      <c r="H19" s="389"/>
      <c r="I19" s="389"/>
      <c r="J19" s="390" t="s">
        <v>214</v>
      </c>
      <c r="K19" s="391"/>
    </row>
    <row r="20" spans="1:11" ht="24.75" customHeight="1">
      <c r="A20" s="3"/>
      <c r="B20" s="388" t="s">
        <v>174</v>
      </c>
      <c r="C20" s="389"/>
      <c r="D20" s="389"/>
      <c r="E20" s="389"/>
      <c r="F20" s="389"/>
      <c r="G20" s="389"/>
      <c r="H20" s="389"/>
      <c r="I20" s="389"/>
      <c r="J20" s="390" t="s">
        <v>213</v>
      </c>
      <c r="K20" s="391"/>
    </row>
    <row r="21" spans="1:11" ht="42" customHeight="1">
      <c r="A21" s="4"/>
      <c r="B21" s="388" t="s">
        <v>175</v>
      </c>
      <c r="C21" s="389"/>
      <c r="D21" s="389"/>
      <c r="E21" s="389"/>
      <c r="F21" s="389"/>
      <c r="G21" s="389"/>
      <c r="H21" s="389"/>
      <c r="I21" s="389"/>
      <c r="J21" s="398" t="s">
        <v>214</v>
      </c>
      <c r="K21" s="399"/>
    </row>
    <row r="22" spans="1:11" ht="29.25" customHeight="1">
      <c r="A22" s="113"/>
      <c r="B22" s="114"/>
      <c r="C22" s="115"/>
      <c r="D22" s="115"/>
      <c r="E22" s="115"/>
      <c r="F22" s="115"/>
      <c r="G22" s="115"/>
      <c r="H22" s="115"/>
      <c r="I22" s="115"/>
    </row>
    <row r="23" spans="1:11" ht="29.25" customHeight="1">
      <c r="A23" s="116" t="s">
        <v>393</v>
      </c>
      <c r="B23" s="115"/>
      <c r="C23" s="115"/>
      <c r="D23" s="115"/>
      <c r="E23" s="120">
        <f>COUNTIF(J10:K21,"ผ่าน")</f>
        <v>3</v>
      </c>
      <c r="F23" s="118" t="s">
        <v>394</v>
      </c>
      <c r="G23" s="122" t="s">
        <v>395</v>
      </c>
      <c r="J23" s="106">
        <f>IF(F7="ปริญญาตรี",3,11)</f>
        <v>3</v>
      </c>
      <c r="K23" s="119" t="s">
        <v>394</v>
      </c>
    </row>
    <row r="24" spans="1:11" ht="29.25" customHeight="1">
      <c r="A24" s="400" t="s">
        <v>176</v>
      </c>
      <c r="B24" s="401"/>
      <c r="C24" s="121" t="s">
        <v>321</v>
      </c>
      <c r="D24" s="392" t="str">
        <f>IF(E23=J23,"ผ่านเกณฑ์มาตรฐานหลักสูตร","ไม่ผ่านเกณฑ์มาตรฐานหลักสูตร")</f>
        <v>ผ่านเกณฑ์มาตรฐานหลักสูตร</v>
      </c>
      <c r="E24" s="392"/>
      <c r="F24" s="392"/>
      <c r="G24" s="392"/>
      <c r="H24" s="117"/>
      <c r="I24" s="117"/>
      <c r="J24" s="95"/>
      <c r="K24" s="95"/>
    </row>
    <row r="27" spans="1:11">
      <c r="A27" s="7" t="s">
        <v>209</v>
      </c>
      <c r="B27" s="7"/>
      <c r="C27" s="7"/>
      <c r="D27" s="7"/>
      <c r="E27" s="7"/>
    </row>
    <row r="28" spans="1:11">
      <c r="A28" s="7" t="s">
        <v>210</v>
      </c>
      <c r="B28" s="7"/>
      <c r="C28" s="7"/>
      <c r="D28" s="7"/>
      <c r="E28" s="7"/>
    </row>
    <row r="29" spans="1:11">
      <c r="A29" s="7" t="s">
        <v>211</v>
      </c>
      <c r="B29" s="7"/>
      <c r="C29" s="7"/>
      <c r="D29" s="7"/>
      <c r="E29" s="7"/>
    </row>
    <row r="30" spans="1:11">
      <c r="A30" s="8" t="s">
        <v>212</v>
      </c>
      <c r="B30" s="7"/>
      <c r="C30" s="7"/>
      <c r="D30" s="7"/>
      <c r="E30" s="7"/>
    </row>
  </sheetData>
  <sheetProtection algorithmName="SHA-512" hashValue="WlpmqWWhj+pPOIHQFmNE5m+okoYEhF+6edGn6ESVH2hWeivEWLHG/93YFY9tjCvIjSB6RVtOaiw7WKUHR/dhwQ==" saltValue="u31durl9WM9dABL1RAf78Q==" spinCount="100000" sheet="1" objects="1" scenarios="1"/>
  <protectedRanges>
    <protectedRange sqref="B6 F6 B7 F7 J10:K21" name="Range1"/>
  </protectedRanges>
  <mergeCells count="35">
    <mergeCell ref="B12:I12"/>
    <mergeCell ref="J12:K12"/>
    <mergeCell ref="B13:I13"/>
    <mergeCell ref="J14:K14"/>
    <mergeCell ref="A1:K1"/>
    <mergeCell ref="D7:E7"/>
    <mergeCell ref="B6:D6"/>
    <mergeCell ref="F6:H6"/>
    <mergeCell ref="J6:K6"/>
    <mergeCell ref="A10:A11"/>
    <mergeCell ref="J10:K10"/>
    <mergeCell ref="B11:I11"/>
    <mergeCell ref="J13:K13"/>
    <mergeCell ref="B14:I14"/>
    <mergeCell ref="D24:G24"/>
    <mergeCell ref="F7:G7"/>
    <mergeCell ref="B9:I9"/>
    <mergeCell ref="J9:K9"/>
    <mergeCell ref="B10:I10"/>
    <mergeCell ref="B21:I21"/>
    <mergeCell ref="J21:K21"/>
    <mergeCell ref="B19:I19"/>
    <mergeCell ref="J19:K19"/>
    <mergeCell ref="B20:I20"/>
    <mergeCell ref="J20:K20"/>
    <mergeCell ref="J11:K11"/>
    <mergeCell ref="J17:K17"/>
    <mergeCell ref="A24:B24"/>
    <mergeCell ref="B18:I18"/>
    <mergeCell ref="J18:K18"/>
    <mergeCell ref="B15:I15"/>
    <mergeCell ref="J15:K15"/>
    <mergeCell ref="B16:I16"/>
    <mergeCell ref="J16:K16"/>
    <mergeCell ref="B17:I17"/>
  </mergeCells>
  <dataValidations count="3">
    <dataValidation type="list" allowBlank="1" showInputMessage="1" showErrorMessage="1" sqref="J10:K21">
      <formula1>"ผ่าน,ไม่ผ่าน, -"</formula1>
    </dataValidation>
    <dataValidation type="list" allowBlank="1" showInputMessage="1" showErrorMessage="1" sqref="F7:G7">
      <formula1>"ปริญญาตรี,ปริญญาโท,ปริญญาเอก"</formula1>
    </dataValidation>
    <dataValidation type="list" allowBlank="1" showInputMessage="1" showErrorMessage="1" sqref="B7">
      <formula1>"2558,2559,2560,2561,2562,2563"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42"/>
  <sheetViews>
    <sheetView topLeftCell="A28" zoomScale="80" zoomScaleNormal="80" workbookViewId="0">
      <selection activeCell="F23" sqref="F23"/>
    </sheetView>
  </sheetViews>
  <sheetFormatPr defaultColWidth="8.85546875" defaultRowHeight="23.25"/>
  <cols>
    <col min="1" max="1" width="4.28515625" style="1" customWidth="1"/>
    <col min="2" max="2" width="11.5703125" style="1" customWidth="1"/>
    <col min="3" max="3" width="11.140625" style="1" customWidth="1"/>
    <col min="4" max="4" width="10.85546875" style="1" customWidth="1"/>
    <col min="5" max="5" width="14.85546875" style="1" customWidth="1"/>
    <col min="6" max="6" width="5.140625" style="1" customWidth="1"/>
    <col min="7" max="7" width="5" style="1" customWidth="1"/>
    <col min="8" max="8" width="4.7109375" style="1" customWidth="1"/>
    <col min="9" max="9" width="4.85546875" style="1" customWidth="1"/>
    <col min="10" max="10" width="5" style="1" customWidth="1"/>
    <col min="11" max="11" width="8.42578125" style="1" customWidth="1"/>
    <col min="12" max="12" width="5.140625" style="1" customWidth="1"/>
    <col min="13" max="13" width="4.85546875" style="1" customWidth="1"/>
    <col min="14" max="14" width="4.5703125" style="1" customWidth="1"/>
    <col min="15" max="16" width="4.7109375" style="1" customWidth="1"/>
    <col min="17" max="17" width="7.85546875" style="1" customWidth="1"/>
    <col min="18" max="18" width="8" style="1" customWidth="1"/>
    <col min="19" max="19" width="12.7109375" style="1" customWidth="1"/>
    <col min="20" max="16384" width="8.85546875" style="1"/>
  </cols>
  <sheetData>
    <row r="1" spans="1:19" ht="26.25">
      <c r="A1" s="678" t="s">
        <v>57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</row>
    <row r="3" spans="1:19">
      <c r="A3" s="2" t="s">
        <v>216</v>
      </c>
      <c r="J3" s="572" t="s">
        <v>330</v>
      </c>
      <c r="K3" s="676"/>
      <c r="L3" s="682" t="s">
        <v>231</v>
      </c>
      <c r="M3" s="682"/>
      <c r="N3" s="682"/>
    </row>
    <row r="4" spans="1:19">
      <c r="A4" s="2"/>
      <c r="B4" s="1" t="s">
        <v>217</v>
      </c>
    </row>
    <row r="5" spans="1:19">
      <c r="B5" s="9" t="s">
        <v>218</v>
      </c>
    </row>
    <row r="6" spans="1:19">
      <c r="B6" s="9" t="s">
        <v>219</v>
      </c>
    </row>
    <row r="7" spans="1:19">
      <c r="B7" s="9" t="s">
        <v>220</v>
      </c>
    </row>
    <row r="8" spans="1:19">
      <c r="B8" s="9" t="s">
        <v>221</v>
      </c>
    </row>
    <row r="10" spans="1:19" ht="45" customHeight="1">
      <c r="A10" s="669" t="s">
        <v>222</v>
      </c>
      <c r="B10" s="669" t="s">
        <v>223</v>
      </c>
      <c r="C10" s="669"/>
      <c r="D10" s="679" t="s">
        <v>225</v>
      </c>
      <c r="E10" s="679" t="s">
        <v>224</v>
      </c>
      <c r="F10" s="679" t="s">
        <v>232</v>
      </c>
      <c r="G10" s="679"/>
      <c r="H10" s="679"/>
      <c r="I10" s="679"/>
      <c r="J10" s="679"/>
      <c r="K10" s="679" t="s">
        <v>226</v>
      </c>
      <c r="L10" s="679" t="s">
        <v>227</v>
      </c>
      <c r="M10" s="679"/>
      <c r="N10" s="679"/>
      <c r="O10" s="679"/>
      <c r="P10" s="679"/>
      <c r="Q10" s="679" t="s">
        <v>226</v>
      </c>
      <c r="R10" s="679" t="s">
        <v>228</v>
      </c>
      <c r="S10" s="681" t="s">
        <v>229</v>
      </c>
    </row>
    <row r="11" spans="1:19">
      <c r="A11" s="680"/>
      <c r="B11" s="680"/>
      <c r="C11" s="680"/>
      <c r="D11" s="680"/>
      <c r="E11" s="680"/>
      <c r="F11" s="10">
        <v>0.2</v>
      </c>
      <c r="G11" s="10">
        <v>0.4</v>
      </c>
      <c r="H11" s="10">
        <v>0.6</v>
      </c>
      <c r="I11" s="10">
        <v>0.8</v>
      </c>
      <c r="J11" s="10">
        <v>1</v>
      </c>
      <c r="K11" s="680"/>
      <c r="L11" s="10">
        <v>0.2</v>
      </c>
      <c r="M11" s="10">
        <v>0.4</v>
      </c>
      <c r="N11" s="10">
        <v>0.6</v>
      </c>
      <c r="O11" s="10">
        <v>0.8</v>
      </c>
      <c r="P11" s="10">
        <v>1</v>
      </c>
      <c r="Q11" s="680"/>
      <c r="R11" s="680"/>
      <c r="S11" s="681"/>
    </row>
    <row r="12" spans="1:19">
      <c r="A12" s="103">
        <v>1</v>
      </c>
      <c r="B12" s="684" t="s">
        <v>328</v>
      </c>
      <c r="C12" s="685"/>
      <c r="D12" s="12" t="s">
        <v>230</v>
      </c>
      <c r="E12" s="105" t="s">
        <v>383</v>
      </c>
      <c r="F12" s="12">
        <v>0</v>
      </c>
      <c r="G12" s="12">
        <v>1</v>
      </c>
      <c r="H12" s="12">
        <v>0</v>
      </c>
      <c r="I12" s="12">
        <v>0</v>
      </c>
      <c r="J12" s="12">
        <v>0</v>
      </c>
      <c r="K12" s="11">
        <f>(F12*0.2)+(G12*0.4)+(H12*0.6)+(I12*0.8)+(J12*1)</f>
        <v>0.4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1">
        <f>(L12*0.2)+(M12*0.4)+(N12*0.6)+(O12*0.8)+(P12*1)</f>
        <v>0</v>
      </c>
      <c r="R12" s="11">
        <f>K12+Q12</f>
        <v>0.4</v>
      </c>
      <c r="S12" s="12">
        <v>0</v>
      </c>
    </row>
    <row r="13" spans="1:19">
      <c r="A13" s="103">
        <v>2</v>
      </c>
      <c r="B13" s="684" t="s">
        <v>328</v>
      </c>
      <c r="C13" s="685"/>
      <c r="D13" s="12" t="s">
        <v>329</v>
      </c>
      <c r="E13" s="105" t="s">
        <v>261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1">
        <f t="shared" ref="K13:K21" si="0">(F13*0.2)+(G13*0.4)+(H13*0.6)+(I13*0.8)+(J13*1)</f>
        <v>0.2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1">
        <f t="shared" ref="Q13:Q21" si="1">(L13*0.2)+(M13*0.4)+(N13*0.6)+(O13*0.8)+(P13*1)</f>
        <v>0</v>
      </c>
      <c r="R13" s="11">
        <f t="shared" ref="R13:R21" si="2">K13+Q13</f>
        <v>0.2</v>
      </c>
      <c r="S13" s="12">
        <v>1</v>
      </c>
    </row>
    <row r="14" spans="1:19">
      <c r="A14" s="103">
        <v>3</v>
      </c>
      <c r="B14" s="684" t="s">
        <v>328</v>
      </c>
      <c r="C14" s="685"/>
      <c r="D14" s="12" t="s">
        <v>329</v>
      </c>
      <c r="E14" s="105" t="s">
        <v>261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1">
        <f t="shared" si="0"/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1">
        <f t="shared" si="1"/>
        <v>0</v>
      </c>
      <c r="R14" s="11">
        <f t="shared" si="2"/>
        <v>0</v>
      </c>
      <c r="S14" s="12">
        <v>2</v>
      </c>
    </row>
    <row r="15" spans="1:19">
      <c r="A15" s="103">
        <v>4</v>
      </c>
      <c r="B15" s="684" t="s">
        <v>328</v>
      </c>
      <c r="C15" s="685"/>
      <c r="D15" s="12" t="s">
        <v>329</v>
      </c>
      <c r="E15" s="105" t="s">
        <v>389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1">
        <f t="shared" si="0"/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1">
        <f t="shared" si="1"/>
        <v>0</v>
      </c>
      <c r="R15" s="11">
        <f t="shared" si="2"/>
        <v>0</v>
      </c>
      <c r="S15" s="12">
        <v>3</v>
      </c>
    </row>
    <row r="16" spans="1:19">
      <c r="A16" s="103">
        <v>5</v>
      </c>
      <c r="B16" s="684" t="s">
        <v>328</v>
      </c>
      <c r="C16" s="685"/>
      <c r="D16" s="12" t="s">
        <v>231</v>
      </c>
      <c r="E16" s="105" t="s">
        <v>389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1">
        <f t="shared" si="0"/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1">
        <f t="shared" si="1"/>
        <v>0</v>
      </c>
      <c r="R16" s="11">
        <f t="shared" si="2"/>
        <v>0</v>
      </c>
      <c r="S16" s="12">
        <v>1</v>
      </c>
    </row>
    <row r="17" spans="1:19">
      <c r="A17" s="103">
        <v>6</v>
      </c>
      <c r="B17" s="684" t="s">
        <v>69</v>
      </c>
      <c r="C17" s="685"/>
      <c r="D17" s="12" t="s">
        <v>214</v>
      </c>
      <c r="E17" s="105" t="s">
        <v>214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1">
        <f t="shared" si="0"/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1">
        <f t="shared" si="1"/>
        <v>0</v>
      </c>
      <c r="R17" s="11">
        <f t="shared" si="2"/>
        <v>0</v>
      </c>
      <c r="S17" s="12">
        <v>0</v>
      </c>
    </row>
    <row r="18" spans="1:19">
      <c r="A18" s="103">
        <v>7</v>
      </c>
      <c r="B18" s="684" t="s">
        <v>69</v>
      </c>
      <c r="C18" s="685"/>
      <c r="D18" s="12" t="s">
        <v>214</v>
      </c>
      <c r="E18" s="105" t="s">
        <v>214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1">
        <f t="shared" si="0"/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1">
        <f t="shared" si="1"/>
        <v>0</v>
      </c>
      <c r="R18" s="11">
        <f t="shared" si="2"/>
        <v>0</v>
      </c>
      <c r="S18" s="12">
        <v>0</v>
      </c>
    </row>
    <row r="19" spans="1:19">
      <c r="A19" s="103">
        <v>8</v>
      </c>
      <c r="B19" s="684" t="s">
        <v>69</v>
      </c>
      <c r="C19" s="685"/>
      <c r="D19" s="12" t="s">
        <v>214</v>
      </c>
      <c r="E19" s="105" t="s">
        <v>214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1">
        <f t="shared" si="0"/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1">
        <f t="shared" si="1"/>
        <v>0</v>
      </c>
      <c r="R19" s="11">
        <f t="shared" si="2"/>
        <v>0</v>
      </c>
      <c r="S19" s="12">
        <v>0</v>
      </c>
    </row>
    <row r="20" spans="1:19">
      <c r="A20" s="103">
        <v>9</v>
      </c>
      <c r="B20" s="684" t="s">
        <v>69</v>
      </c>
      <c r="C20" s="685"/>
      <c r="D20" s="12" t="s">
        <v>214</v>
      </c>
      <c r="E20" s="105" t="s">
        <v>214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1">
        <f t="shared" si="0"/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1">
        <f t="shared" si="1"/>
        <v>0</v>
      </c>
      <c r="R20" s="11">
        <f t="shared" si="2"/>
        <v>0</v>
      </c>
      <c r="S20" s="12">
        <v>0</v>
      </c>
    </row>
    <row r="21" spans="1:19">
      <c r="A21" s="103">
        <v>10</v>
      </c>
      <c r="B21" s="684" t="s">
        <v>69</v>
      </c>
      <c r="C21" s="685"/>
      <c r="D21" s="12" t="s">
        <v>214</v>
      </c>
      <c r="E21" s="105" t="s">
        <v>214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1">
        <f t="shared" si="0"/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1">
        <f t="shared" si="1"/>
        <v>0</v>
      </c>
      <c r="R21" s="11">
        <f t="shared" si="2"/>
        <v>0</v>
      </c>
      <c r="S21" s="12">
        <v>0</v>
      </c>
    </row>
    <row r="23" spans="1:19">
      <c r="B23" s="2" t="s">
        <v>290</v>
      </c>
      <c r="F23" s="92">
        <f>10-COUNTIF(B12:C21," ")</f>
        <v>5</v>
      </c>
      <c r="G23" s="2" t="s">
        <v>195</v>
      </c>
    </row>
    <row r="24" spans="1:19">
      <c r="B24" s="2" t="s">
        <v>382</v>
      </c>
      <c r="F24" s="93">
        <f>COUNTIF(D12:D21,"ปริญญาเอก")</f>
        <v>1</v>
      </c>
      <c r="G24" s="2" t="s">
        <v>195</v>
      </c>
      <c r="J24" s="2" t="s">
        <v>385</v>
      </c>
      <c r="N24" s="2"/>
      <c r="R24" s="93">
        <f>COUNTIF(D12:D21,"ปริญญาโท")</f>
        <v>3</v>
      </c>
      <c r="S24" s="2" t="s">
        <v>195</v>
      </c>
    </row>
    <row r="25" spans="1:19">
      <c r="B25" s="62" t="s">
        <v>384</v>
      </c>
      <c r="C25" s="95"/>
      <c r="D25" s="95"/>
      <c r="F25" s="93">
        <f>COUNTIF(E12:E21,"ศาสตราจารย์")</f>
        <v>0</v>
      </c>
      <c r="G25" s="2" t="s">
        <v>195</v>
      </c>
      <c r="J25" s="62" t="s">
        <v>386</v>
      </c>
      <c r="K25" s="95"/>
      <c r="L25" s="95"/>
      <c r="R25" s="104">
        <f>COUNTIF(E12:E21,"รองศาสตราจารย์")</f>
        <v>1</v>
      </c>
      <c r="S25" s="2" t="s">
        <v>195</v>
      </c>
    </row>
    <row r="26" spans="1:19">
      <c r="B26" s="62" t="s">
        <v>387</v>
      </c>
      <c r="C26" s="95"/>
      <c r="D26" s="95"/>
      <c r="F26" s="93">
        <f>COUNTIF(E12:E21,"ผู้ช่วยศาสตราจารย์")</f>
        <v>2</v>
      </c>
      <c r="G26" s="2" t="s">
        <v>195</v>
      </c>
      <c r="J26" s="62" t="s">
        <v>388</v>
      </c>
      <c r="K26" s="95"/>
      <c r="L26" s="95"/>
      <c r="R26" s="104">
        <f>COUNTIF(E12:E21,"อาจารย์")</f>
        <v>2</v>
      </c>
      <c r="S26" s="2" t="s">
        <v>195</v>
      </c>
    </row>
    <row r="27" spans="1:19">
      <c r="B27" s="2" t="s">
        <v>325</v>
      </c>
      <c r="F27" s="94">
        <f>SUM(R12:R21)</f>
        <v>0.60000000000000009</v>
      </c>
      <c r="G27" s="95"/>
      <c r="H27" s="95"/>
      <c r="J27" s="2" t="s">
        <v>486</v>
      </c>
      <c r="R27" s="197">
        <f>SUM(S12:S21)</f>
        <v>7</v>
      </c>
      <c r="S27" s="2" t="s">
        <v>487</v>
      </c>
    </row>
    <row r="29" spans="1:19">
      <c r="A29" s="418">
        <v>1</v>
      </c>
      <c r="B29" s="1" t="s">
        <v>390</v>
      </c>
      <c r="F29" s="675">
        <f>F24/F23*100</f>
        <v>20</v>
      </c>
      <c r="G29" s="686"/>
      <c r="J29" s="1" t="s">
        <v>392</v>
      </c>
      <c r="L29" s="99" t="s">
        <v>199</v>
      </c>
      <c r="M29" s="675">
        <f>IF(F29*5/F30&gt;5,5,F29*5/F30)</f>
        <v>5</v>
      </c>
      <c r="N29" s="676"/>
    </row>
    <row r="30" spans="1:19">
      <c r="A30" s="418"/>
      <c r="B30" s="676" t="s">
        <v>391</v>
      </c>
      <c r="C30" s="676"/>
      <c r="D30" s="676"/>
      <c r="E30" s="676"/>
      <c r="F30" s="687">
        <f>IF(L3="ปริญญาตรี",20,(IF(L3="ปริญญาโท",60,(IF(L3="ปริญญาเอก",100,"")))))</f>
        <v>20</v>
      </c>
      <c r="G30" s="688"/>
    </row>
    <row r="31" spans="1:19">
      <c r="A31" s="99"/>
    </row>
    <row r="32" spans="1:19">
      <c r="A32" s="418">
        <v>2</v>
      </c>
      <c r="B32" s="1" t="s">
        <v>326</v>
      </c>
      <c r="E32" s="1" t="s">
        <v>199</v>
      </c>
      <c r="F32" s="683">
        <f>(F25+R25+F26)/F23*100</f>
        <v>60</v>
      </c>
      <c r="G32" s="418"/>
    </row>
    <row r="33" spans="1:14">
      <c r="A33" s="418"/>
      <c r="B33" s="676" t="s">
        <v>391</v>
      </c>
      <c r="C33" s="676"/>
      <c r="D33" s="676"/>
      <c r="E33" s="676"/>
      <c r="F33" s="689">
        <f>IF(L3="ปริญญาตรี",60,(IF(L3="ปริญญาโท",80,(IF(L3="ปริญญาเอก",100,"")))))</f>
        <v>60</v>
      </c>
      <c r="G33" s="690"/>
      <c r="J33" s="1" t="s">
        <v>392</v>
      </c>
      <c r="L33" s="99" t="s">
        <v>199</v>
      </c>
      <c r="M33" s="675">
        <f>IF(F32*5/F33&gt;5,5,F32*5/F33)</f>
        <v>5</v>
      </c>
      <c r="N33" s="676"/>
    </row>
    <row r="34" spans="1:14">
      <c r="A34" s="99"/>
    </row>
    <row r="35" spans="1:14">
      <c r="A35" s="418">
        <v>3</v>
      </c>
      <c r="B35" s="95" t="s">
        <v>381</v>
      </c>
      <c r="F35" s="691">
        <f>F27/F23*100</f>
        <v>12.000000000000002</v>
      </c>
      <c r="G35" s="692"/>
    </row>
    <row r="36" spans="1:14">
      <c r="A36" s="418"/>
      <c r="B36" s="676" t="s">
        <v>391</v>
      </c>
      <c r="C36" s="676"/>
      <c r="D36" s="676"/>
      <c r="E36" s="676"/>
      <c r="F36" s="677">
        <f>IF(L3="ปริญญาตรี",20,(IF(L3="ปริญญาโท",40,(IF(L3="ปริญญาเอก",60,"")))))</f>
        <v>20</v>
      </c>
      <c r="G36" s="693"/>
      <c r="J36" s="1" t="s">
        <v>392</v>
      </c>
      <c r="L36" s="99" t="s">
        <v>199</v>
      </c>
      <c r="M36" s="675">
        <f>IF(F35*5/F36&gt;5,5,F35*5/F36)</f>
        <v>3.0000000000000004</v>
      </c>
      <c r="N36" s="676"/>
    </row>
    <row r="37" spans="1:14">
      <c r="A37" s="99"/>
    </row>
    <row r="38" spans="1:14">
      <c r="A38" s="418">
        <v>4</v>
      </c>
      <c r="B38" s="676" t="s">
        <v>403</v>
      </c>
      <c r="C38" s="676"/>
      <c r="D38" s="676"/>
      <c r="E38" s="676"/>
      <c r="F38" s="694">
        <f>SUM(S12:S21)/F23</f>
        <v>1.4</v>
      </c>
      <c r="G38" s="695"/>
      <c r="I38" s="2" t="s">
        <v>69</v>
      </c>
    </row>
    <row r="39" spans="1:14">
      <c r="A39" s="418"/>
      <c r="B39" s="676" t="s">
        <v>404</v>
      </c>
      <c r="C39" s="676"/>
      <c r="D39" s="676"/>
      <c r="E39" s="676"/>
      <c r="F39" s="677">
        <v>2.5</v>
      </c>
      <c r="G39" s="677"/>
      <c r="J39" s="1" t="s">
        <v>392</v>
      </c>
      <c r="L39" s="99" t="s">
        <v>199</v>
      </c>
      <c r="M39" s="675">
        <f>IF(F38*5/F39&gt;5,5,F38*5/F39)</f>
        <v>2.8</v>
      </c>
      <c r="N39" s="676"/>
    </row>
    <row r="42" spans="1:14">
      <c r="B42" s="2" t="s">
        <v>327</v>
      </c>
      <c r="F42" s="683">
        <f>IF(L3="ปริญญาเอก",(M29+M33+M36+M39)/4,(M29+M33+M36)/3)</f>
        <v>4.333333333333333</v>
      </c>
      <c r="G42" s="683"/>
    </row>
  </sheetData>
  <sheetProtection algorithmName="SHA-512" hashValue="L/LWPo0Qg19EWsSVvwlLLtiSZKf1ydgO5a74sZK7JwyiHsHeMPtd/jDn21gJdpLWu2v2f8dT4b+p6xiIjcM/dw==" saltValue="VzHv5tf27JTq23s0sl0DCA==" spinCount="100000" sheet="1" objects="1" scenarios="1"/>
  <protectedRanges>
    <protectedRange sqref="B12:J21 L12:P21 S12:S21 F39" name="Range1"/>
  </protectedRanges>
  <dataConsolidate/>
  <mergeCells count="45">
    <mergeCell ref="B15:C15"/>
    <mergeCell ref="B16:C16"/>
    <mergeCell ref="B17:C17"/>
    <mergeCell ref="B12:C12"/>
    <mergeCell ref="B13:C13"/>
    <mergeCell ref="B14:C14"/>
    <mergeCell ref="F42:G42"/>
    <mergeCell ref="B18:C18"/>
    <mergeCell ref="B19:C19"/>
    <mergeCell ref="B20:C20"/>
    <mergeCell ref="B21:C21"/>
    <mergeCell ref="B30:E30"/>
    <mergeCell ref="B33:E33"/>
    <mergeCell ref="B36:E36"/>
    <mergeCell ref="F29:G29"/>
    <mergeCell ref="F30:G30"/>
    <mergeCell ref="F32:G32"/>
    <mergeCell ref="F33:G33"/>
    <mergeCell ref="F35:G35"/>
    <mergeCell ref="F36:G36"/>
    <mergeCell ref="F38:G38"/>
    <mergeCell ref="J3:K3"/>
    <mergeCell ref="A1:S1"/>
    <mergeCell ref="F10:J10"/>
    <mergeCell ref="A10:A11"/>
    <mergeCell ref="B10:C11"/>
    <mergeCell ref="D10:D11"/>
    <mergeCell ref="E10:E11"/>
    <mergeCell ref="L10:P10"/>
    <mergeCell ref="K10:K11"/>
    <mergeCell ref="Q10:Q11"/>
    <mergeCell ref="R10:R11"/>
    <mergeCell ref="S10:S11"/>
    <mergeCell ref="L3:N3"/>
    <mergeCell ref="A29:A30"/>
    <mergeCell ref="A32:A33"/>
    <mergeCell ref="A35:A36"/>
    <mergeCell ref="A38:A39"/>
    <mergeCell ref="M39:N39"/>
    <mergeCell ref="B39:E39"/>
    <mergeCell ref="B38:E38"/>
    <mergeCell ref="F39:G39"/>
    <mergeCell ref="M29:N29"/>
    <mergeCell ref="M33:N33"/>
    <mergeCell ref="M36:N36"/>
  </mergeCells>
  <dataValidations count="8">
    <dataValidation type="list" allowBlank="1" showInputMessage="1" showErrorMessage="1" sqref="F12:J21 S12:S21 L12:P21">
      <formula1>"0,1,2,3,4,5,6,7,8,9,10"</formula1>
    </dataValidation>
    <dataValidation type="list" allowBlank="1" showInputMessage="1" showErrorMessage="1" sqref="D12:D21">
      <formula1>"ปริญญาเอก,ปริญญาโท,ปริญญาตรี,-"</formula1>
    </dataValidation>
    <dataValidation type="list" allowBlank="1" showInputMessage="1" showErrorMessage="1" sqref="E12:E21">
      <formula1>"ศาสตราจารย์,รองศาสตราจารย์,ผู้ช่วยศาสตราจารย์,อาจารย์,-"</formula1>
    </dataValidation>
    <dataValidation type="list" allowBlank="1" showInputMessage="1" showErrorMessage="1" sqref="F30">
      <formula1>"20,60,100"</formula1>
    </dataValidation>
    <dataValidation type="list" allowBlank="1" showInputMessage="1" showErrorMessage="1" sqref="F33">
      <formula1>"60,80,100"</formula1>
    </dataValidation>
    <dataValidation type="list" allowBlank="1" showInputMessage="1" showErrorMessage="1" sqref="F36:G36">
      <formula1>"20,40,60"</formula1>
    </dataValidation>
    <dataValidation type="list" allowBlank="1" showInputMessage="1" showErrorMessage="1" sqref="L3:N3">
      <formula1>"ปริญญาตรี,ปริญญาโท,ปริญญาเอก"</formula1>
    </dataValidation>
    <dataValidation type="list" allowBlank="1" showInputMessage="1" showErrorMessage="1" sqref="F39:G39">
      <formula1>"2.5,3.0,0.25"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50"/>
  <sheetViews>
    <sheetView zoomScale="190" zoomScaleNormal="190" workbookViewId="0">
      <selection activeCell="C1" sqref="C1"/>
    </sheetView>
  </sheetViews>
  <sheetFormatPr defaultColWidth="9.140625" defaultRowHeight="23.25"/>
  <cols>
    <col min="1" max="1" width="7.28515625" style="17" customWidth="1"/>
    <col min="2" max="2" width="19.5703125" style="17" customWidth="1"/>
    <col min="3" max="3" width="10.85546875" style="17" customWidth="1"/>
    <col min="4" max="4" width="9.140625" style="17"/>
    <col min="5" max="5" width="10.140625" style="17" customWidth="1"/>
    <col min="6" max="6" width="8.42578125" style="17" customWidth="1"/>
    <col min="7" max="7" width="11.5703125" style="17" customWidth="1"/>
    <col min="8" max="8" width="10.5703125" style="17" customWidth="1"/>
    <col min="9" max="16384" width="9.140625" style="17"/>
  </cols>
  <sheetData>
    <row r="1" spans="1:8" ht="26.25">
      <c r="C1" s="146" t="s">
        <v>57</v>
      </c>
    </row>
    <row r="2" spans="1:8">
      <c r="A2" s="2" t="s">
        <v>71</v>
      </c>
    </row>
    <row r="3" spans="1:8">
      <c r="A3" s="2"/>
    </row>
    <row r="4" spans="1:8">
      <c r="A4" s="2"/>
      <c r="B4" s="17" t="s">
        <v>25</v>
      </c>
    </row>
    <row r="5" spans="1:8">
      <c r="A5" s="2"/>
      <c r="B5" s="43" t="s">
        <v>72</v>
      </c>
    </row>
    <row r="6" spans="1:8">
      <c r="A6" s="2"/>
      <c r="B6" s="43" t="s">
        <v>73</v>
      </c>
    </row>
    <row r="8" spans="1:8">
      <c r="A8" s="368" t="s">
        <v>6</v>
      </c>
      <c r="B8" s="369" t="s">
        <v>5</v>
      </c>
      <c r="C8" s="509" t="s">
        <v>7</v>
      </c>
      <c r="D8" s="654"/>
      <c r="E8" s="654"/>
      <c r="F8" s="368" t="s">
        <v>12</v>
      </c>
      <c r="G8" s="509" t="s">
        <v>51</v>
      </c>
      <c r="H8" s="654"/>
    </row>
    <row r="9" spans="1:8" ht="37.15" customHeight="1">
      <c r="A9" s="465">
        <v>1</v>
      </c>
      <c r="B9" s="466" t="s">
        <v>38</v>
      </c>
      <c r="C9" s="699" t="s">
        <v>39</v>
      </c>
      <c r="D9" s="697"/>
      <c r="E9" s="697"/>
      <c r="F9" s="123" t="s">
        <v>215</v>
      </c>
      <c r="G9" s="698" t="s">
        <v>69</v>
      </c>
      <c r="H9" s="697"/>
    </row>
    <row r="10" spans="1:8" ht="48.75" customHeight="1">
      <c r="A10" s="465"/>
      <c r="B10" s="466"/>
      <c r="C10" s="699" t="s">
        <v>74</v>
      </c>
      <c r="D10" s="697"/>
      <c r="E10" s="697"/>
      <c r="F10" s="123" t="s">
        <v>215</v>
      </c>
      <c r="G10" s="698" t="s">
        <v>69</v>
      </c>
      <c r="H10" s="697"/>
    </row>
    <row r="11" spans="1:8" ht="45.6" customHeight="1">
      <c r="A11" s="465">
        <v>2</v>
      </c>
      <c r="B11" s="466" t="s">
        <v>40</v>
      </c>
      <c r="C11" s="699" t="s">
        <v>39</v>
      </c>
      <c r="D11" s="697"/>
      <c r="E11" s="697"/>
      <c r="F11" s="123" t="s">
        <v>215</v>
      </c>
      <c r="G11" s="698" t="s">
        <v>69</v>
      </c>
      <c r="H11" s="697"/>
    </row>
    <row r="12" spans="1:8" ht="50.25" customHeight="1">
      <c r="A12" s="465"/>
      <c r="B12" s="466"/>
      <c r="C12" s="699" t="s">
        <v>74</v>
      </c>
      <c r="D12" s="697"/>
      <c r="E12" s="697"/>
      <c r="F12" s="123" t="s">
        <v>215</v>
      </c>
      <c r="G12" s="698" t="s">
        <v>69</v>
      </c>
      <c r="H12" s="697"/>
    </row>
    <row r="13" spans="1:8" ht="38.25" customHeight="1">
      <c r="A13" s="465">
        <v>3</v>
      </c>
      <c r="B13" s="466" t="s">
        <v>41</v>
      </c>
      <c r="C13" s="699" t="s">
        <v>75</v>
      </c>
      <c r="D13" s="697"/>
      <c r="E13" s="697"/>
      <c r="F13" s="123" t="s">
        <v>215</v>
      </c>
      <c r="G13" s="698" t="s">
        <v>69</v>
      </c>
      <c r="H13" s="697"/>
    </row>
    <row r="14" spans="1:8" ht="41.25" customHeight="1">
      <c r="A14" s="465"/>
      <c r="B14" s="466"/>
      <c r="C14" s="699" t="s">
        <v>76</v>
      </c>
      <c r="D14" s="697"/>
      <c r="E14" s="697"/>
      <c r="F14" s="123" t="s">
        <v>215</v>
      </c>
      <c r="G14" s="698" t="s">
        <v>69</v>
      </c>
      <c r="H14" s="697"/>
    </row>
    <row r="15" spans="1:8" ht="35.25" customHeight="1">
      <c r="A15" s="465">
        <v>4</v>
      </c>
      <c r="B15" s="466" t="s">
        <v>42</v>
      </c>
      <c r="C15" s="699" t="s">
        <v>75</v>
      </c>
      <c r="D15" s="697"/>
      <c r="E15" s="697"/>
      <c r="F15" s="123" t="s">
        <v>215</v>
      </c>
      <c r="G15" s="698" t="s">
        <v>69</v>
      </c>
      <c r="H15" s="697"/>
    </row>
    <row r="16" spans="1:8" ht="45.75" customHeight="1">
      <c r="A16" s="465"/>
      <c r="B16" s="466"/>
      <c r="C16" s="699" t="s">
        <v>76</v>
      </c>
      <c r="D16" s="697"/>
      <c r="E16" s="697"/>
      <c r="F16" s="123" t="s">
        <v>215</v>
      </c>
      <c r="G16" s="698" t="s">
        <v>69</v>
      </c>
      <c r="H16" s="697"/>
    </row>
    <row r="17" spans="1:8" ht="40.5" customHeight="1">
      <c r="A17" s="465">
        <v>5</v>
      </c>
      <c r="B17" s="466" t="s">
        <v>56</v>
      </c>
      <c r="C17" s="699" t="s">
        <v>22</v>
      </c>
      <c r="D17" s="697"/>
      <c r="E17" s="697"/>
      <c r="F17" s="123" t="s">
        <v>215</v>
      </c>
      <c r="G17" s="698" t="s">
        <v>69</v>
      </c>
      <c r="H17" s="697"/>
    </row>
    <row r="18" spans="1:8" ht="38.25" customHeight="1">
      <c r="A18" s="518"/>
      <c r="B18" s="467"/>
      <c r="C18" s="699" t="s">
        <v>43</v>
      </c>
      <c r="D18" s="697"/>
      <c r="E18" s="697"/>
      <c r="F18" s="123" t="s">
        <v>215</v>
      </c>
      <c r="G18" s="698" t="s">
        <v>69</v>
      </c>
      <c r="H18" s="697"/>
    </row>
    <row r="19" spans="1:8" ht="44.25" customHeight="1">
      <c r="A19" s="518"/>
      <c r="B19" s="467"/>
      <c r="C19" s="699" t="s">
        <v>43</v>
      </c>
      <c r="D19" s="697"/>
      <c r="E19" s="697"/>
      <c r="F19" s="123" t="s">
        <v>215</v>
      </c>
      <c r="G19" s="698" t="s">
        <v>69</v>
      </c>
      <c r="H19" s="697"/>
    </row>
    <row r="20" spans="1:8" ht="43.5" customHeight="1">
      <c r="A20" s="456"/>
      <c r="B20" s="456"/>
      <c r="C20" s="696"/>
      <c r="D20" s="697"/>
      <c r="E20" s="697"/>
      <c r="F20" s="123" t="s">
        <v>286</v>
      </c>
      <c r="G20" s="698" t="s">
        <v>69</v>
      </c>
      <c r="H20" s="697"/>
    </row>
    <row r="21" spans="1:8">
      <c r="A21" s="456"/>
      <c r="B21" s="456"/>
      <c r="C21" s="696"/>
      <c r="D21" s="697"/>
      <c r="E21" s="697"/>
      <c r="F21" s="123" t="s">
        <v>286</v>
      </c>
      <c r="G21" s="698" t="s">
        <v>69</v>
      </c>
      <c r="H21" s="697"/>
    </row>
    <row r="22" spans="1:8">
      <c r="A22" s="456"/>
      <c r="B22" s="456"/>
      <c r="C22" s="696"/>
      <c r="D22" s="697"/>
      <c r="E22" s="697"/>
      <c r="F22" s="123" t="s">
        <v>286</v>
      </c>
      <c r="G22" s="698" t="s">
        <v>69</v>
      </c>
      <c r="H22" s="697"/>
    </row>
    <row r="24" spans="1:8">
      <c r="B24" s="572" t="s">
        <v>309</v>
      </c>
      <c r="C24" s="572"/>
      <c r="D24" s="520"/>
      <c r="E24" s="520"/>
      <c r="F24" s="153">
        <v>5</v>
      </c>
      <c r="G24" s="2" t="s">
        <v>6</v>
      </c>
    </row>
    <row r="26" spans="1:8" ht="26.25">
      <c r="B26" s="225" t="s">
        <v>438</v>
      </c>
      <c r="C26" s="224"/>
      <c r="D26" s="224"/>
      <c r="E26" s="224"/>
      <c r="F26" s="224"/>
    </row>
    <row r="27" spans="1:8">
      <c r="A27" s="700" t="s">
        <v>438</v>
      </c>
      <c r="B27" s="701"/>
      <c r="C27" s="701"/>
      <c r="D27" s="701"/>
      <c r="E27" s="374">
        <f>'1.1'!B7-2</f>
        <v>2558</v>
      </c>
      <c r="F27" s="374">
        <f>E27+1</f>
        <v>2559</v>
      </c>
      <c r="G27" s="374">
        <f>F27+1</f>
        <v>2560</v>
      </c>
    </row>
    <row r="28" spans="1:8">
      <c r="A28" s="702" t="s">
        <v>552</v>
      </c>
      <c r="B28" s="703"/>
      <c r="C28" s="704"/>
      <c r="D28" s="704"/>
      <c r="E28" s="379">
        <v>4</v>
      </c>
      <c r="F28" s="379">
        <v>4.5</v>
      </c>
      <c r="G28" s="379">
        <v>4.76</v>
      </c>
    </row>
    <row r="29" spans="1:8">
      <c r="A29" s="707" t="s">
        <v>553</v>
      </c>
      <c r="B29" s="708"/>
      <c r="C29" s="708"/>
      <c r="D29" s="708"/>
      <c r="E29" s="380">
        <v>4</v>
      </c>
      <c r="F29" s="380">
        <v>3.8</v>
      </c>
      <c r="G29" s="380">
        <v>4.8</v>
      </c>
    </row>
    <row r="30" spans="1:8">
      <c r="A30" s="707" t="s">
        <v>554</v>
      </c>
      <c r="B30" s="708"/>
      <c r="C30" s="708"/>
      <c r="D30" s="708"/>
      <c r="E30" s="380">
        <v>4.2</v>
      </c>
      <c r="F30" s="380">
        <v>4.5</v>
      </c>
      <c r="G30" s="380">
        <v>4</v>
      </c>
    </row>
    <row r="31" spans="1:8">
      <c r="A31" s="709" t="s">
        <v>555</v>
      </c>
      <c r="B31" s="710"/>
      <c r="C31" s="710"/>
      <c r="D31" s="710"/>
      <c r="E31" s="380">
        <v>4.4000000000000004</v>
      </c>
      <c r="F31" s="380">
        <v>4.0999999999999996</v>
      </c>
      <c r="G31" s="380">
        <v>4.9000000000000004</v>
      </c>
    </row>
    <row r="32" spans="1:8">
      <c r="A32" s="709" t="s">
        <v>556</v>
      </c>
      <c r="B32" s="710"/>
      <c r="C32" s="710"/>
      <c r="D32" s="710"/>
      <c r="E32" s="380">
        <v>4.3</v>
      </c>
      <c r="F32" s="380">
        <v>4.9000000000000004</v>
      </c>
      <c r="G32" s="380">
        <v>4.5</v>
      </c>
    </row>
    <row r="33" spans="1:7">
      <c r="A33" s="709" t="s">
        <v>557</v>
      </c>
      <c r="B33" s="710"/>
      <c r="C33" s="710"/>
      <c r="D33" s="710"/>
      <c r="E33" s="380">
        <v>4.9000000000000004</v>
      </c>
      <c r="F33" s="380">
        <v>4.3</v>
      </c>
      <c r="G33" s="380">
        <v>4.7</v>
      </c>
    </row>
    <row r="34" spans="1:7">
      <c r="A34" s="705" t="s">
        <v>550</v>
      </c>
      <c r="B34" s="706"/>
      <c r="C34" s="706"/>
      <c r="D34" s="706"/>
      <c r="E34" s="34">
        <f>AVERAGE(E28:E33)</f>
        <v>4.3000000000000007</v>
      </c>
      <c r="F34" s="34">
        <f t="shared" ref="F34:G34" si="0">AVERAGE(F28:F33)</f>
        <v>4.3499999999999996</v>
      </c>
      <c r="G34" s="34">
        <f t="shared" si="0"/>
        <v>4.6100000000000003</v>
      </c>
    </row>
    <row r="50" spans="13:13">
      <c r="M50" s="2"/>
    </row>
  </sheetData>
  <sheetProtection algorithmName="SHA-512" hashValue="27aMumip7jXNR8fH3B+U+8YhiR7b8mce9LGmCzGxz2ZRWPtmniRb2eDRUhtBCWRyL2FPcRDkWRTbtsKLryXsWg==" saltValue="mlsmVlVi3fHK/ADDz0thqQ==" spinCount="100000" sheet="1" objects="1" scenarios="1" formatRows="0"/>
  <protectedRanges>
    <protectedRange sqref="C9:H22 E28:G28 F24 E28:G33" name="Range1"/>
  </protectedRanges>
  <mergeCells count="49">
    <mergeCell ref="A34:D34"/>
    <mergeCell ref="A29:D29"/>
    <mergeCell ref="A30:D30"/>
    <mergeCell ref="A31:D31"/>
    <mergeCell ref="A32:D32"/>
    <mergeCell ref="A33:D33"/>
    <mergeCell ref="A27:D27"/>
    <mergeCell ref="A28:D28"/>
    <mergeCell ref="C13:E13"/>
    <mergeCell ref="C14:E14"/>
    <mergeCell ref="C15:E15"/>
    <mergeCell ref="C16:E16"/>
    <mergeCell ref="C17:E17"/>
    <mergeCell ref="B24:E24"/>
    <mergeCell ref="A15:A16"/>
    <mergeCell ref="B15:B16"/>
    <mergeCell ref="B17:B22"/>
    <mergeCell ref="A17:A22"/>
    <mergeCell ref="C18:E18"/>
    <mergeCell ref="C19:E19"/>
    <mergeCell ref="C20:E20"/>
    <mergeCell ref="C21:E21"/>
    <mergeCell ref="C8:E8"/>
    <mergeCell ref="C9:E9"/>
    <mergeCell ref="C10:E10"/>
    <mergeCell ref="C11:E11"/>
    <mergeCell ref="C12:E12"/>
    <mergeCell ref="G18:H18"/>
    <mergeCell ref="G19:H19"/>
    <mergeCell ref="G20:H20"/>
    <mergeCell ref="G21:H21"/>
    <mergeCell ref="G22:H22"/>
    <mergeCell ref="G13:H13"/>
    <mergeCell ref="G14:H14"/>
    <mergeCell ref="G15:H15"/>
    <mergeCell ref="G16:H16"/>
    <mergeCell ref="G17:H17"/>
    <mergeCell ref="G8:H8"/>
    <mergeCell ref="G9:H9"/>
    <mergeCell ref="G10:H10"/>
    <mergeCell ref="G11:H11"/>
    <mergeCell ref="G12:H12"/>
    <mergeCell ref="C22:E22"/>
    <mergeCell ref="A9:A10"/>
    <mergeCell ref="B9:B10"/>
    <mergeCell ref="A11:A12"/>
    <mergeCell ref="B11:B12"/>
    <mergeCell ref="A13:A14"/>
    <mergeCell ref="B13:B14"/>
  </mergeCells>
  <dataValidations count="2">
    <dataValidation type="list" allowBlank="1" showInputMessage="1" showErrorMessage="1" sqref="F24">
      <formula1>"0,1,2,3,4,5"</formula1>
    </dataValidation>
    <dataValidation type="list" allowBlank="1" showInputMessage="1" showErrorMessage="1" sqref="F9:F22">
      <formula1>"มี,ไม่มี"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75"/>
  <sheetViews>
    <sheetView topLeftCell="A10" zoomScale="90" zoomScaleNormal="90" workbookViewId="0">
      <selection activeCell="C13" sqref="C13"/>
    </sheetView>
  </sheetViews>
  <sheetFormatPr defaultColWidth="9.140625" defaultRowHeight="23.25"/>
  <cols>
    <col min="1" max="1" width="7.7109375" style="17" customWidth="1"/>
    <col min="2" max="2" width="19.85546875" style="17" customWidth="1"/>
    <col min="3" max="3" width="35.5703125" style="17" customWidth="1"/>
    <col min="4" max="4" width="6.85546875" style="17" customWidth="1"/>
    <col min="5" max="5" width="35.42578125" style="17" customWidth="1"/>
    <col min="6" max="6" width="9.140625" style="17"/>
    <col min="7" max="7" width="18.7109375" style="17" customWidth="1"/>
    <col min="8" max="16384" width="9.140625" style="17"/>
  </cols>
  <sheetData>
    <row r="1" spans="1:18">
      <c r="A1" s="450" t="s">
        <v>77</v>
      </c>
      <c r="B1" s="711"/>
      <c r="C1" s="711"/>
      <c r="D1" s="711"/>
      <c r="E1" s="711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3" spans="1:18">
      <c r="A3" s="17" t="s">
        <v>78</v>
      </c>
    </row>
    <row r="4" spans="1:18">
      <c r="B4" s="17" t="s">
        <v>25</v>
      </c>
    </row>
    <row r="5" spans="1:18">
      <c r="B5" s="43" t="s">
        <v>79</v>
      </c>
    </row>
    <row r="7" spans="1:18">
      <c r="A7" s="132" t="s">
        <v>6</v>
      </c>
      <c r="B7" s="134" t="s">
        <v>5</v>
      </c>
      <c r="C7" s="132" t="s">
        <v>7</v>
      </c>
      <c r="D7" s="132" t="s">
        <v>12</v>
      </c>
      <c r="E7" s="132" t="s">
        <v>51</v>
      </c>
    </row>
    <row r="8" spans="1:18">
      <c r="A8" s="468">
        <v>1</v>
      </c>
      <c r="B8" s="512" t="s">
        <v>154</v>
      </c>
      <c r="C8" s="195" t="s">
        <v>82</v>
      </c>
      <c r="D8" s="123" t="s">
        <v>215</v>
      </c>
      <c r="E8" s="154"/>
    </row>
    <row r="9" spans="1:18">
      <c r="A9" s="469"/>
      <c r="B9" s="513"/>
      <c r="C9" s="195" t="s">
        <v>83</v>
      </c>
      <c r="D9" s="123" t="s">
        <v>215</v>
      </c>
      <c r="E9" s="154"/>
    </row>
    <row r="10" spans="1:18" ht="42">
      <c r="A10" s="470"/>
      <c r="B10" s="514"/>
      <c r="C10" s="195" t="s">
        <v>84</v>
      </c>
      <c r="D10" s="123" t="s">
        <v>215</v>
      </c>
      <c r="E10" s="154"/>
    </row>
    <row r="11" spans="1:18" ht="24" customHeight="1">
      <c r="A11" s="474">
        <v>2</v>
      </c>
      <c r="B11" s="471" t="s">
        <v>155</v>
      </c>
      <c r="C11" s="195" t="s">
        <v>85</v>
      </c>
      <c r="D11" s="123" t="s">
        <v>215</v>
      </c>
      <c r="E11" s="154"/>
    </row>
    <row r="12" spans="1:18">
      <c r="A12" s="475"/>
      <c r="B12" s="477"/>
      <c r="C12" s="195" t="s">
        <v>86</v>
      </c>
      <c r="D12" s="123" t="s">
        <v>215</v>
      </c>
      <c r="E12" s="154"/>
    </row>
    <row r="13" spans="1:18" ht="36.6" customHeight="1">
      <c r="A13" s="476"/>
      <c r="B13" s="478"/>
      <c r="C13" s="195"/>
      <c r="D13" s="123" t="s">
        <v>215</v>
      </c>
      <c r="E13" s="154"/>
    </row>
    <row r="14" spans="1:18" ht="27.75" customHeight="1">
      <c r="A14" s="468">
        <v>3</v>
      </c>
      <c r="B14" s="471" t="s">
        <v>14</v>
      </c>
      <c r="C14" s="195" t="s">
        <v>87</v>
      </c>
      <c r="D14" s="123" t="s">
        <v>215</v>
      </c>
      <c r="E14" s="154"/>
    </row>
    <row r="15" spans="1:18">
      <c r="A15" s="469"/>
      <c r="B15" s="477"/>
      <c r="C15" s="195" t="s">
        <v>88</v>
      </c>
      <c r="D15" s="123" t="s">
        <v>215</v>
      </c>
      <c r="E15" s="154" t="s">
        <v>69</v>
      </c>
    </row>
    <row r="16" spans="1:18">
      <c r="A16" s="469"/>
      <c r="B16" s="477"/>
      <c r="C16" s="195"/>
      <c r="D16" s="123" t="s">
        <v>215</v>
      </c>
      <c r="E16" s="154"/>
    </row>
    <row r="17" spans="1:5" ht="30" customHeight="1">
      <c r="A17" s="470"/>
      <c r="B17" s="478"/>
      <c r="C17" s="195"/>
      <c r="D17" s="123" t="s">
        <v>215</v>
      </c>
      <c r="E17" s="154"/>
    </row>
    <row r="18" spans="1:5" ht="46.9" customHeight="1">
      <c r="A18" s="109">
        <v>4</v>
      </c>
      <c r="B18" s="370" t="s">
        <v>53</v>
      </c>
      <c r="C18" s="50" t="s">
        <v>54</v>
      </c>
      <c r="D18" s="123" t="s">
        <v>215</v>
      </c>
      <c r="E18" s="154"/>
    </row>
    <row r="19" spans="1:5">
      <c r="A19" s="465">
        <v>5</v>
      </c>
      <c r="B19" s="466" t="s">
        <v>55</v>
      </c>
      <c r="C19" s="195" t="s">
        <v>22</v>
      </c>
      <c r="D19" s="123" t="s">
        <v>215</v>
      </c>
      <c r="E19" s="154"/>
    </row>
    <row r="20" spans="1:5">
      <c r="A20" s="456"/>
      <c r="B20" s="467"/>
      <c r="C20" s="195" t="s">
        <v>36</v>
      </c>
      <c r="D20" s="123" t="s">
        <v>215</v>
      </c>
      <c r="E20" s="194"/>
    </row>
    <row r="21" spans="1:5" ht="27" customHeight="1">
      <c r="A21" s="456"/>
      <c r="B21" s="467"/>
      <c r="C21" s="195" t="s">
        <v>36</v>
      </c>
      <c r="D21" s="123" t="s">
        <v>215</v>
      </c>
      <c r="E21" s="194"/>
    </row>
    <row r="22" spans="1:5">
      <c r="A22" s="456"/>
      <c r="B22" s="456"/>
      <c r="C22" s="193"/>
      <c r="D22" s="123" t="s">
        <v>215</v>
      </c>
      <c r="E22" s="194"/>
    </row>
    <row r="23" spans="1:5">
      <c r="A23" s="456"/>
      <c r="B23" s="456"/>
      <c r="C23" s="194"/>
      <c r="D23" s="123" t="s">
        <v>215</v>
      </c>
      <c r="E23" s="194"/>
    </row>
    <row r="24" spans="1:5">
      <c r="A24" s="456"/>
      <c r="B24" s="456"/>
      <c r="C24" s="194"/>
      <c r="D24" s="123" t="s">
        <v>215</v>
      </c>
      <c r="E24" s="194"/>
    </row>
    <row r="27" spans="1:5">
      <c r="A27" s="17" t="s">
        <v>78</v>
      </c>
    </row>
    <row r="28" spans="1:5">
      <c r="B28" s="17" t="s">
        <v>25</v>
      </c>
    </row>
    <row r="29" spans="1:5">
      <c r="B29" s="43" t="s">
        <v>80</v>
      </c>
    </row>
    <row r="31" spans="1:5">
      <c r="A31" s="132" t="s">
        <v>6</v>
      </c>
      <c r="B31" s="134" t="s">
        <v>5</v>
      </c>
      <c r="C31" s="132" t="s">
        <v>7</v>
      </c>
      <c r="D31" s="132" t="s">
        <v>12</v>
      </c>
      <c r="E31" s="132" t="s">
        <v>51</v>
      </c>
    </row>
    <row r="32" spans="1:5">
      <c r="A32" s="468">
        <v>1</v>
      </c>
      <c r="B32" s="512" t="s">
        <v>154</v>
      </c>
      <c r="C32" s="195" t="s">
        <v>82</v>
      </c>
      <c r="D32" s="123" t="s">
        <v>215</v>
      </c>
      <c r="E32" s="154"/>
    </row>
    <row r="33" spans="1:5">
      <c r="A33" s="469"/>
      <c r="B33" s="513"/>
      <c r="C33" s="195" t="s">
        <v>83</v>
      </c>
      <c r="D33" s="123" t="s">
        <v>215</v>
      </c>
      <c r="E33" s="154"/>
    </row>
    <row r="34" spans="1:5" ht="42">
      <c r="A34" s="470"/>
      <c r="B34" s="514"/>
      <c r="C34" s="195" t="s">
        <v>84</v>
      </c>
      <c r="D34" s="123" t="s">
        <v>215</v>
      </c>
      <c r="E34" s="154"/>
    </row>
    <row r="35" spans="1:5" ht="24" customHeight="1">
      <c r="A35" s="474">
        <v>2</v>
      </c>
      <c r="B35" s="512" t="s">
        <v>155</v>
      </c>
      <c r="C35" s="195" t="s">
        <v>85</v>
      </c>
      <c r="D35" s="123" t="s">
        <v>215</v>
      </c>
      <c r="E35" s="154"/>
    </row>
    <row r="36" spans="1:5">
      <c r="A36" s="475"/>
      <c r="B36" s="453"/>
      <c r="C36" s="195" t="s">
        <v>86</v>
      </c>
      <c r="D36" s="123" t="s">
        <v>215</v>
      </c>
      <c r="E36" s="154"/>
    </row>
    <row r="37" spans="1:5">
      <c r="A37" s="476"/>
      <c r="B37" s="454"/>
      <c r="C37" s="195"/>
      <c r="D37" s="123" t="s">
        <v>215</v>
      </c>
      <c r="E37" s="154"/>
    </row>
    <row r="38" spans="1:5" ht="27.75" customHeight="1">
      <c r="A38" s="468">
        <v>3</v>
      </c>
      <c r="B38" s="512" t="s">
        <v>14</v>
      </c>
      <c r="C38" s="195" t="s">
        <v>87</v>
      </c>
      <c r="D38" s="123" t="s">
        <v>215</v>
      </c>
      <c r="E38" s="154"/>
    </row>
    <row r="39" spans="1:5">
      <c r="A39" s="469"/>
      <c r="B39" s="453"/>
      <c r="C39" s="195" t="s">
        <v>88</v>
      </c>
      <c r="D39" s="123" t="s">
        <v>215</v>
      </c>
      <c r="E39" s="154" t="s">
        <v>69</v>
      </c>
    </row>
    <row r="40" spans="1:5">
      <c r="A40" s="469"/>
      <c r="B40" s="453"/>
      <c r="C40" s="195"/>
      <c r="D40" s="123" t="s">
        <v>215</v>
      </c>
      <c r="E40" s="154"/>
    </row>
    <row r="41" spans="1:5">
      <c r="A41" s="470"/>
      <c r="B41" s="454"/>
      <c r="C41" s="195"/>
      <c r="D41" s="123" t="s">
        <v>215</v>
      </c>
      <c r="E41" s="154"/>
    </row>
    <row r="42" spans="1:5" ht="52.9" customHeight="1">
      <c r="A42" s="109">
        <v>4</v>
      </c>
      <c r="B42" s="373" t="s">
        <v>53</v>
      </c>
      <c r="C42" s="50" t="s">
        <v>54</v>
      </c>
      <c r="D42" s="123" t="s">
        <v>215</v>
      </c>
      <c r="E42" s="154"/>
    </row>
    <row r="43" spans="1:5">
      <c r="A43" s="465">
        <v>5</v>
      </c>
      <c r="B43" s="651" t="s">
        <v>55</v>
      </c>
      <c r="C43" s="195" t="s">
        <v>22</v>
      </c>
      <c r="D43" s="123" t="s">
        <v>215</v>
      </c>
      <c r="E43" s="154"/>
    </row>
    <row r="44" spans="1:5">
      <c r="A44" s="456"/>
      <c r="B44" s="458"/>
      <c r="C44" s="195" t="s">
        <v>36</v>
      </c>
      <c r="D44" s="123" t="s">
        <v>215</v>
      </c>
      <c r="E44" s="194"/>
    </row>
    <row r="45" spans="1:5" ht="27" customHeight="1">
      <c r="A45" s="456"/>
      <c r="B45" s="458"/>
      <c r="C45" s="195" t="s">
        <v>36</v>
      </c>
      <c r="D45" s="123" t="s">
        <v>215</v>
      </c>
      <c r="E45" s="194"/>
    </row>
    <row r="46" spans="1:5">
      <c r="A46" s="456"/>
      <c r="B46" s="459"/>
      <c r="C46" s="193"/>
      <c r="D46" s="123" t="s">
        <v>215</v>
      </c>
      <c r="E46" s="194"/>
    </row>
    <row r="47" spans="1:5">
      <c r="A47" s="456"/>
      <c r="B47" s="459"/>
      <c r="C47" s="194"/>
      <c r="D47" s="123" t="s">
        <v>215</v>
      </c>
      <c r="E47" s="194"/>
    </row>
    <row r="48" spans="1:5">
      <c r="A48" s="456"/>
      <c r="B48" s="459"/>
      <c r="C48" s="194"/>
      <c r="D48" s="123" t="s">
        <v>215</v>
      </c>
      <c r="E48" s="194"/>
    </row>
    <row r="52" spans="1:5">
      <c r="A52" s="17" t="s">
        <v>78</v>
      </c>
    </row>
    <row r="53" spans="1:5">
      <c r="B53" s="17" t="s">
        <v>25</v>
      </c>
    </row>
    <row r="54" spans="1:5">
      <c r="B54" s="43" t="s">
        <v>81</v>
      </c>
    </row>
    <row r="56" spans="1:5">
      <c r="A56" s="132" t="s">
        <v>6</v>
      </c>
      <c r="B56" s="134" t="s">
        <v>5</v>
      </c>
      <c r="C56" s="132" t="s">
        <v>7</v>
      </c>
      <c r="D56" s="132" t="s">
        <v>12</v>
      </c>
      <c r="E56" s="132" t="s">
        <v>51</v>
      </c>
    </row>
    <row r="57" spans="1:5">
      <c r="A57" s="468">
        <v>1</v>
      </c>
      <c r="B57" s="512" t="s">
        <v>154</v>
      </c>
      <c r="C57" s="195" t="s">
        <v>82</v>
      </c>
      <c r="D57" s="123" t="s">
        <v>215</v>
      </c>
      <c r="E57" s="154"/>
    </row>
    <row r="58" spans="1:5">
      <c r="A58" s="469"/>
      <c r="B58" s="513"/>
      <c r="C58" s="195" t="s">
        <v>83</v>
      </c>
      <c r="D58" s="123" t="s">
        <v>215</v>
      </c>
      <c r="E58" s="154"/>
    </row>
    <row r="59" spans="1:5" ht="42">
      <c r="A59" s="470"/>
      <c r="B59" s="514"/>
      <c r="C59" s="195" t="s">
        <v>84</v>
      </c>
      <c r="D59" s="123" t="s">
        <v>215</v>
      </c>
      <c r="E59" s="154"/>
    </row>
    <row r="60" spans="1:5" ht="24" customHeight="1">
      <c r="A60" s="474">
        <v>2</v>
      </c>
      <c r="B60" s="512" t="s">
        <v>155</v>
      </c>
      <c r="C60" s="195" t="s">
        <v>85</v>
      </c>
      <c r="D60" s="123" t="s">
        <v>215</v>
      </c>
      <c r="E60" s="154"/>
    </row>
    <row r="61" spans="1:5">
      <c r="A61" s="475"/>
      <c r="B61" s="453"/>
      <c r="C61" s="195" t="s">
        <v>86</v>
      </c>
      <c r="D61" s="123" t="s">
        <v>215</v>
      </c>
      <c r="E61" s="154"/>
    </row>
    <row r="62" spans="1:5">
      <c r="A62" s="476"/>
      <c r="B62" s="454"/>
      <c r="C62" s="195"/>
      <c r="D62" s="123" t="s">
        <v>215</v>
      </c>
      <c r="E62" s="154"/>
    </row>
    <row r="63" spans="1:5" ht="27.75" customHeight="1">
      <c r="A63" s="468">
        <v>3</v>
      </c>
      <c r="B63" s="512" t="s">
        <v>14</v>
      </c>
      <c r="C63" s="195" t="s">
        <v>87</v>
      </c>
      <c r="D63" s="123" t="s">
        <v>215</v>
      </c>
      <c r="E63" s="154"/>
    </row>
    <row r="64" spans="1:5">
      <c r="A64" s="469"/>
      <c r="B64" s="453"/>
      <c r="C64" s="195" t="s">
        <v>88</v>
      </c>
      <c r="D64" s="123" t="s">
        <v>215</v>
      </c>
      <c r="E64" s="154" t="s">
        <v>69</v>
      </c>
    </row>
    <row r="65" spans="1:5">
      <c r="A65" s="469"/>
      <c r="B65" s="453"/>
      <c r="C65" s="195"/>
      <c r="D65" s="123" t="s">
        <v>215</v>
      </c>
      <c r="E65" s="154"/>
    </row>
    <row r="66" spans="1:5">
      <c r="A66" s="470"/>
      <c r="B66" s="454"/>
      <c r="C66" s="195"/>
      <c r="D66" s="123" t="s">
        <v>215</v>
      </c>
      <c r="E66" s="154"/>
    </row>
    <row r="67" spans="1:5" ht="42">
      <c r="A67" s="109">
        <v>4</v>
      </c>
      <c r="B67" s="373" t="s">
        <v>53</v>
      </c>
      <c r="C67" s="50" t="s">
        <v>54</v>
      </c>
      <c r="D67" s="123" t="s">
        <v>215</v>
      </c>
      <c r="E67" s="154"/>
    </row>
    <row r="68" spans="1:5">
      <c r="A68" s="465">
        <v>5</v>
      </c>
      <c r="B68" s="651" t="s">
        <v>55</v>
      </c>
      <c r="C68" s="195" t="s">
        <v>22</v>
      </c>
      <c r="D68" s="123" t="s">
        <v>215</v>
      </c>
      <c r="E68" s="154"/>
    </row>
    <row r="69" spans="1:5">
      <c r="A69" s="456"/>
      <c r="B69" s="458"/>
      <c r="C69" s="195" t="s">
        <v>36</v>
      </c>
      <c r="D69" s="123" t="s">
        <v>215</v>
      </c>
      <c r="E69" s="194"/>
    </row>
    <row r="70" spans="1:5" ht="27" customHeight="1">
      <c r="A70" s="456"/>
      <c r="B70" s="458"/>
      <c r="C70" s="195" t="s">
        <v>36</v>
      </c>
      <c r="D70" s="123" t="s">
        <v>215</v>
      </c>
      <c r="E70" s="194"/>
    </row>
    <row r="71" spans="1:5">
      <c r="A71" s="456"/>
      <c r="B71" s="459"/>
      <c r="C71" s="193"/>
      <c r="D71" s="123" t="s">
        <v>215</v>
      </c>
      <c r="E71" s="194"/>
    </row>
    <row r="72" spans="1:5">
      <c r="A72" s="456"/>
      <c r="B72" s="459"/>
      <c r="C72" s="194"/>
      <c r="D72" s="123" t="s">
        <v>215</v>
      </c>
      <c r="E72" s="194"/>
    </row>
    <row r="73" spans="1:5">
      <c r="A73" s="456"/>
      <c r="B73" s="459"/>
      <c r="C73" s="194"/>
      <c r="D73" s="123" t="s">
        <v>215</v>
      </c>
      <c r="E73" s="194"/>
    </row>
    <row r="75" spans="1:5" ht="45.75" customHeight="1">
      <c r="B75" s="712" t="s">
        <v>308</v>
      </c>
      <c r="C75" s="712"/>
      <c r="D75" s="198">
        <v>5</v>
      </c>
      <c r="E75" s="16" t="s">
        <v>6</v>
      </c>
    </row>
  </sheetData>
  <sheetProtection algorithmName="SHA-512" hashValue="H08HvfVGbt8gEg6f+UzyzENanBLb6vKtg9yNfhu+1+bOp/5HMLqIQKaIF0HWtvmsmvnw0ED0a+t6OH/04BZQpA==" saltValue="jUYs71YvHhzRD/e8CSbkgQ==" spinCount="100000" sheet="1" objects="1" scenarios="1" formatRows="0"/>
  <protectedRanges>
    <protectedRange sqref="C8:E24 C32:E48 C57:E73 D75" name="Range1"/>
  </protectedRanges>
  <mergeCells count="26">
    <mergeCell ref="B75:C75"/>
    <mergeCell ref="A63:A66"/>
    <mergeCell ref="B63:B66"/>
    <mergeCell ref="A68:A73"/>
    <mergeCell ref="B68:B73"/>
    <mergeCell ref="A43:A48"/>
    <mergeCell ref="B43:B48"/>
    <mergeCell ref="A57:A59"/>
    <mergeCell ref="B57:B59"/>
    <mergeCell ref="A60:A62"/>
    <mergeCell ref="B60:B62"/>
    <mergeCell ref="A32:A34"/>
    <mergeCell ref="B32:B34"/>
    <mergeCell ref="A35:A37"/>
    <mergeCell ref="B35:B37"/>
    <mergeCell ref="A38:A41"/>
    <mergeCell ref="B38:B41"/>
    <mergeCell ref="A1:E1"/>
    <mergeCell ref="B8:B10"/>
    <mergeCell ref="B11:B13"/>
    <mergeCell ref="B14:B17"/>
    <mergeCell ref="A19:A24"/>
    <mergeCell ref="B19:B24"/>
    <mergeCell ref="A8:A10"/>
    <mergeCell ref="A11:A13"/>
    <mergeCell ref="A14:A17"/>
  </mergeCells>
  <dataValidations count="2">
    <dataValidation type="list" allowBlank="1" showInputMessage="1" showErrorMessage="1" sqref="D8:D24 D32:D48 D57:D73">
      <formula1>"มี,ไม่มี"</formula1>
    </dataValidation>
    <dataValidation type="list" allowBlank="1" showInputMessage="1" showErrorMessage="1" sqref="D75">
      <formula1>"0,1,2,3,4,5"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199"/>
  <sheetViews>
    <sheetView workbookViewId="0">
      <selection activeCell="B191" sqref="B191"/>
    </sheetView>
  </sheetViews>
  <sheetFormatPr defaultColWidth="9.140625" defaultRowHeight="23.25"/>
  <cols>
    <col min="1" max="1" width="7" style="201" customWidth="1"/>
    <col min="2" max="2" width="17.85546875" style="201" customWidth="1"/>
    <col min="3" max="3" width="35.5703125" style="201" customWidth="1"/>
    <col min="4" max="4" width="6.85546875" style="201" customWidth="1"/>
    <col min="5" max="5" width="35.5703125" style="201" customWidth="1"/>
    <col min="6" max="6" width="9.140625" style="201"/>
    <col min="7" max="7" width="18.7109375" style="201" customWidth="1"/>
    <col min="8" max="16384" width="9.140625" style="201"/>
  </cols>
  <sheetData>
    <row r="1" spans="1:18">
      <c r="A1" s="713" t="s">
        <v>77</v>
      </c>
      <c r="B1" s="714"/>
      <c r="C1" s="714"/>
      <c r="D1" s="714"/>
      <c r="E1" s="714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</row>
    <row r="3" spans="1:18">
      <c r="A3" s="111" t="s">
        <v>89</v>
      </c>
      <c r="B3" s="111"/>
      <c r="C3" s="111"/>
      <c r="D3" s="111"/>
      <c r="E3" s="111"/>
    </row>
    <row r="4" spans="1:18">
      <c r="B4" s="111" t="s">
        <v>25</v>
      </c>
      <c r="C4" s="111"/>
      <c r="D4" s="111"/>
      <c r="E4" s="111"/>
    </row>
    <row r="5" spans="1:18">
      <c r="B5" s="204" t="s">
        <v>90</v>
      </c>
      <c r="C5" s="111"/>
      <c r="D5" s="111"/>
      <c r="E5" s="111"/>
    </row>
    <row r="7" spans="1:18" ht="46.5">
      <c r="A7" s="371" t="s">
        <v>6</v>
      </c>
      <c r="B7" s="135" t="s">
        <v>5</v>
      </c>
      <c r="C7" s="371" t="s">
        <v>7</v>
      </c>
      <c r="D7" s="371" t="s">
        <v>12</v>
      </c>
      <c r="E7" s="371" t="s">
        <v>51</v>
      </c>
    </row>
    <row r="8" spans="1:18">
      <c r="A8" s="474">
        <v>1</v>
      </c>
      <c r="B8" s="512" t="s">
        <v>154</v>
      </c>
      <c r="C8" s="195" t="s">
        <v>97</v>
      </c>
      <c r="D8" s="199" t="s">
        <v>215</v>
      </c>
      <c r="E8" s="195"/>
    </row>
    <row r="9" spans="1:18" ht="42">
      <c r="A9" s="475"/>
      <c r="B9" s="513"/>
      <c r="C9" s="195" t="s">
        <v>98</v>
      </c>
      <c r="D9" s="199" t="s">
        <v>215</v>
      </c>
      <c r="E9" s="195"/>
    </row>
    <row r="10" spans="1:18">
      <c r="A10" s="476"/>
      <c r="B10" s="514"/>
      <c r="C10" s="195"/>
      <c r="D10" s="199" t="s">
        <v>215</v>
      </c>
      <c r="E10" s="195"/>
    </row>
    <row r="11" spans="1:18" ht="45.75" customHeight="1">
      <c r="A11" s="474">
        <v>2</v>
      </c>
      <c r="B11" s="471" t="s">
        <v>155</v>
      </c>
      <c r="C11" s="195" t="s">
        <v>411</v>
      </c>
      <c r="D11" s="199" t="s">
        <v>215</v>
      </c>
      <c r="E11" s="195"/>
    </row>
    <row r="12" spans="1:18" ht="48.75" customHeight="1">
      <c r="A12" s="475"/>
      <c r="B12" s="477"/>
      <c r="C12" s="195" t="s">
        <v>100</v>
      </c>
      <c r="D12" s="199" t="s">
        <v>215</v>
      </c>
      <c r="E12" s="195"/>
    </row>
    <row r="13" spans="1:18" ht="41.25" customHeight="1">
      <c r="A13" s="476"/>
      <c r="B13" s="478"/>
      <c r="C13" s="195" t="s">
        <v>410</v>
      </c>
      <c r="D13" s="199" t="s">
        <v>215</v>
      </c>
      <c r="E13" s="195"/>
    </row>
    <row r="14" spans="1:18" ht="42">
      <c r="A14" s="474">
        <v>3</v>
      </c>
      <c r="B14" s="471" t="s">
        <v>14</v>
      </c>
      <c r="C14" s="195" t="s">
        <v>101</v>
      </c>
      <c r="D14" s="199" t="s">
        <v>215</v>
      </c>
      <c r="E14" s="195"/>
    </row>
    <row r="15" spans="1:18">
      <c r="A15" s="475"/>
      <c r="B15" s="477"/>
      <c r="C15" s="195"/>
      <c r="D15" s="199" t="s">
        <v>215</v>
      </c>
      <c r="E15" s="195"/>
    </row>
    <row r="16" spans="1:18">
      <c r="A16" s="475"/>
      <c r="B16" s="477"/>
      <c r="C16" s="195"/>
      <c r="D16" s="199" t="s">
        <v>215</v>
      </c>
      <c r="E16" s="195"/>
    </row>
    <row r="17" spans="1:5">
      <c r="A17" s="476"/>
      <c r="B17" s="478"/>
      <c r="C17" s="195"/>
      <c r="D17" s="199" t="s">
        <v>215</v>
      </c>
      <c r="E17" s="195"/>
    </row>
    <row r="18" spans="1:5" ht="63.75">
      <c r="A18" s="110">
        <v>4</v>
      </c>
      <c r="B18" s="159" t="s">
        <v>53</v>
      </c>
      <c r="C18" s="50" t="s">
        <v>54</v>
      </c>
      <c r="D18" s="199" t="s">
        <v>215</v>
      </c>
      <c r="E18" s="195"/>
    </row>
    <row r="19" spans="1:5" ht="28.5" customHeight="1">
      <c r="A19" s="715">
        <v>5</v>
      </c>
      <c r="B19" s="466" t="s">
        <v>55</v>
      </c>
      <c r="C19" s="195" t="s">
        <v>22</v>
      </c>
      <c r="D19" s="199" t="s">
        <v>215</v>
      </c>
      <c r="E19" s="195"/>
    </row>
    <row r="20" spans="1:5" ht="28.5" customHeight="1">
      <c r="A20" s="716"/>
      <c r="B20" s="652"/>
      <c r="C20" s="195" t="s">
        <v>36</v>
      </c>
      <c r="D20" s="199" t="s">
        <v>215</v>
      </c>
      <c r="E20" s="193"/>
    </row>
    <row r="21" spans="1:5" ht="33.75" customHeight="1">
      <c r="A21" s="716"/>
      <c r="B21" s="652"/>
      <c r="C21" s="195" t="s">
        <v>36</v>
      </c>
      <c r="D21" s="199" t="s">
        <v>215</v>
      </c>
      <c r="E21" s="193"/>
    </row>
    <row r="22" spans="1:5" ht="30" customHeight="1">
      <c r="A22" s="716"/>
      <c r="B22" s="716"/>
      <c r="C22" s="193"/>
      <c r="D22" s="199" t="s">
        <v>215</v>
      </c>
      <c r="E22" s="193"/>
    </row>
    <row r="23" spans="1:5" ht="29.25" customHeight="1">
      <c r="A23" s="716"/>
      <c r="B23" s="716"/>
      <c r="C23" s="193"/>
      <c r="D23" s="199" t="s">
        <v>215</v>
      </c>
      <c r="E23" s="193"/>
    </row>
    <row r="24" spans="1:5" ht="30" customHeight="1">
      <c r="A24" s="716"/>
      <c r="B24" s="716"/>
      <c r="C24" s="193"/>
      <c r="D24" s="199" t="s">
        <v>215</v>
      </c>
      <c r="E24" s="193"/>
    </row>
    <row r="26" spans="1:5">
      <c r="A26" s="111" t="s">
        <v>89</v>
      </c>
      <c r="B26" s="111"/>
      <c r="C26" s="111"/>
      <c r="D26" s="111"/>
      <c r="E26" s="111"/>
    </row>
    <row r="27" spans="1:5">
      <c r="A27" s="111"/>
      <c r="B27" s="111" t="s">
        <v>25</v>
      </c>
      <c r="C27" s="111"/>
      <c r="D27" s="111"/>
      <c r="E27" s="111"/>
    </row>
    <row r="28" spans="1:5">
      <c r="A28" s="111"/>
      <c r="B28" s="204" t="s">
        <v>91</v>
      </c>
      <c r="C28" s="111"/>
      <c r="D28" s="111"/>
      <c r="E28" s="111"/>
    </row>
    <row r="30" spans="1:5" ht="46.5">
      <c r="A30" s="371" t="s">
        <v>6</v>
      </c>
      <c r="B30" s="371" t="s">
        <v>5</v>
      </c>
      <c r="C30" s="371" t="s">
        <v>7</v>
      </c>
      <c r="D30" s="371" t="s">
        <v>12</v>
      </c>
      <c r="E30" s="371" t="s">
        <v>51</v>
      </c>
    </row>
    <row r="31" spans="1:5">
      <c r="A31" s="474">
        <v>1</v>
      </c>
      <c r="B31" s="512" t="s">
        <v>154</v>
      </c>
      <c r="C31" s="195" t="s">
        <v>97</v>
      </c>
      <c r="D31" s="199" t="s">
        <v>215</v>
      </c>
      <c r="E31" s="195"/>
    </row>
    <row r="32" spans="1:5" ht="42">
      <c r="A32" s="475"/>
      <c r="B32" s="513"/>
      <c r="C32" s="195" t="s">
        <v>98</v>
      </c>
      <c r="D32" s="199" t="s">
        <v>215</v>
      </c>
      <c r="E32" s="195"/>
    </row>
    <row r="33" spans="1:5">
      <c r="A33" s="476"/>
      <c r="B33" s="514"/>
      <c r="C33" s="195"/>
      <c r="D33" s="199" t="s">
        <v>215</v>
      </c>
      <c r="E33" s="195"/>
    </row>
    <row r="34" spans="1:5" ht="43.5" customHeight="1">
      <c r="A34" s="474">
        <v>2</v>
      </c>
      <c r="B34" s="471" t="s">
        <v>155</v>
      </c>
      <c r="C34" s="195" t="s">
        <v>99</v>
      </c>
      <c r="D34" s="199" t="s">
        <v>215</v>
      </c>
      <c r="E34" s="195"/>
    </row>
    <row r="35" spans="1:5" ht="47.25" customHeight="1">
      <c r="A35" s="475"/>
      <c r="B35" s="477"/>
      <c r="C35" s="195" t="s">
        <v>100</v>
      </c>
      <c r="D35" s="199" t="s">
        <v>215</v>
      </c>
      <c r="E35" s="195"/>
    </row>
    <row r="36" spans="1:5" ht="46.5" customHeight="1">
      <c r="A36" s="476"/>
      <c r="B36" s="478"/>
      <c r="C36" s="195"/>
      <c r="D36" s="199" t="s">
        <v>215</v>
      </c>
      <c r="E36" s="195"/>
    </row>
    <row r="37" spans="1:5" ht="42">
      <c r="A37" s="474">
        <v>3</v>
      </c>
      <c r="B37" s="471" t="s">
        <v>14</v>
      </c>
      <c r="C37" s="195" t="s">
        <v>101</v>
      </c>
      <c r="D37" s="199" t="s">
        <v>215</v>
      </c>
      <c r="E37" s="195"/>
    </row>
    <row r="38" spans="1:5">
      <c r="A38" s="475"/>
      <c r="B38" s="477"/>
      <c r="C38" s="195"/>
      <c r="D38" s="199" t="s">
        <v>215</v>
      </c>
      <c r="E38" s="195"/>
    </row>
    <row r="39" spans="1:5">
      <c r="A39" s="475"/>
      <c r="B39" s="477"/>
      <c r="C39" s="195"/>
      <c r="D39" s="199" t="s">
        <v>215</v>
      </c>
      <c r="E39" s="195"/>
    </row>
    <row r="40" spans="1:5">
      <c r="A40" s="476"/>
      <c r="B40" s="478"/>
      <c r="C40" s="195"/>
      <c r="D40" s="199" t="s">
        <v>215</v>
      </c>
      <c r="E40" s="195"/>
    </row>
    <row r="41" spans="1:5" ht="63.75">
      <c r="A41" s="110">
        <v>4</v>
      </c>
      <c r="B41" s="159" t="s">
        <v>53</v>
      </c>
      <c r="C41" s="50" t="s">
        <v>54</v>
      </c>
      <c r="D41" s="199" t="s">
        <v>215</v>
      </c>
      <c r="E41" s="195"/>
    </row>
    <row r="42" spans="1:5">
      <c r="A42" s="715">
        <v>5</v>
      </c>
      <c r="B42" s="466" t="s">
        <v>55</v>
      </c>
      <c r="C42" s="195" t="s">
        <v>22</v>
      </c>
      <c r="D42" s="199" t="s">
        <v>215</v>
      </c>
      <c r="E42" s="195"/>
    </row>
    <row r="43" spans="1:5">
      <c r="A43" s="716"/>
      <c r="B43" s="652"/>
      <c r="C43" s="195" t="s">
        <v>36</v>
      </c>
      <c r="D43" s="199" t="s">
        <v>215</v>
      </c>
      <c r="E43" s="193"/>
    </row>
    <row r="44" spans="1:5" ht="36" customHeight="1">
      <c r="A44" s="716"/>
      <c r="B44" s="652"/>
      <c r="C44" s="195" t="s">
        <v>36</v>
      </c>
      <c r="D44" s="199" t="s">
        <v>215</v>
      </c>
      <c r="E44" s="193"/>
    </row>
    <row r="45" spans="1:5" ht="27.75" customHeight="1">
      <c r="A45" s="716"/>
      <c r="B45" s="716"/>
      <c r="C45" s="193"/>
      <c r="D45" s="199" t="s">
        <v>215</v>
      </c>
      <c r="E45" s="193"/>
    </row>
    <row r="46" spans="1:5" ht="33" customHeight="1">
      <c r="A46" s="716"/>
      <c r="B46" s="716"/>
      <c r="C46" s="193"/>
      <c r="D46" s="199" t="s">
        <v>215</v>
      </c>
      <c r="E46" s="193"/>
    </row>
    <row r="47" spans="1:5" ht="31.5" customHeight="1">
      <c r="A47" s="716"/>
      <c r="B47" s="716"/>
      <c r="C47" s="193"/>
      <c r="D47" s="199" t="s">
        <v>215</v>
      </c>
      <c r="E47" s="193"/>
    </row>
    <row r="50" spans="1:5">
      <c r="A50" s="111" t="s">
        <v>89</v>
      </c>
      <c r="B50" s="111"/>
      <c r="C50" s="111"/>
      <c r="D50" s="111"/>
      <c r="E50" s="111"/>
    </row>
    <row r="51" spans="1:5">
      <c r="A51" s="111"/>
      <c r="B51" s="111" t="s">
        <v>25</v>
      </c>
      <c r="C51" s="111"/>
      <c r="D51" s="111"/>
      <c r="E51" s="111"/>
    </row>
    <row r="52" spans="1:5">
      <c r="A52" s="111"/>
      <c r="B52" s="204" t="s">
        <v>92</v>
      </c>
      <c r="C52" s="111"/>
      <c r="D52" s="111"/>
      <c r="E52" s="111"/>
    </row>
    <row r="54" spans="1:5" ht="46.5">
      <c r="A54" s="371" t="s">
        <v>6</v>
      </c>
      <c r="B54" s="371" t="s">
        <v>5</v>
      </c>
      <c r="C54" s="371" t="s">
        <v>7</v>
      </c>
      <c r="D54" s="371" t="s">
        <v>12</v>
      </c>
      <c r="E54" s="371" t="s">
        <v>51</v>
      </c>
    </row>
    <row r="55" spans="1:5">
      <c r="A55" s="474">
        <v>1</v>
      </c>
      <c r="B55" s="512" t="s">
        <v>154</v>
      </c>
      <c r="C55" s="195" t="s">
        <v>97</v>
      </c>
      <c r="D55" s="199" t="s">
        <v>215</v>
      </c>
      <c r="E55" s="195"/>
    </row>
    <row r="56" spans="1:5" ht="42">
      <c r="A56" s="475"/>
      <c r="B56" s="513"/>
      <c r="C56" s="195" t="s">
        <v>98</v>
      </c>
      <c r="D56" s="199" t="s">
        <v>215</v>
      </c>
      <c r="E56" s="195"/>
    </row>
    <row r="57" spans="1:5">
      <c r="A57" s="476"/>
      <c r="B57" s="514"/>
      <c r="C57" s="195"/>
      <c r="D57" s="199" t="s">
        <v>215</v>
      </c>
      <c r="E57" s="195"/>
    </row>
    <row r="58" spans="1:5" ht="43.5" customHeight="1">
      <c r="A58" s="474">
        <v>2</v>
      </c>
      <c r="B58" s="471" t="s">
        <v>155</v>
      </c>
      <c r="C58" s="195" t="s">
        <v>99</v>
      </c>
      <c r="D58" s="199" t="s">
        <v>215</v>
      </c>
      <c r="E58" s="195"/>
    </row>
    <row r="59" spans="1:5" ht="42">
      <c r="A59" s="475"/>
      <c r="B59" s="477"/>
      <c r="C59" s="195" t="s">
        <v>100</v>
      </c>
      <c r="D59" s="199" t="s">
        <v>215</v>
      </c>
      <c r="E59" s="195"/>
    </row>
    <row r="60" spans="1:5" ht="37.5" customHeight="1">
      <c r="A60" s="476"/>
      <c r="B60" s="478"/>
      <c r="C60" s="195"/>
      <c r="D60" s="199" t="s">
        <v>215</v>
      </c>
      <c r="E60" s="195"/>
    </row>
    <row r="61" spans="1:5" ht="42">
      <c r="A61" s="474">
        <v>3</v>
      </c>
      <c r="B61" s="471" t="s">
        <v>14</v>
      </c>
      <c r="C61" s="195" t="s">
        <v>101</v>
      </c>
      <c r="D61" s="199" t="s">
        <v>215</v>
      </c>
      <c r="E61" s="195"/>
    </row>
    <row r="62" spans="1:5">
      <c r="A62" s="475"/>
      <c r="B62" s="477"/>
      <c r="C62" s="195"/>
      <c r="D62" s="199" t="s">
        <v>215</v>
      </c>
      <c r="E62" s="195"/>
    </row>
    <row r="63" spans="1:5">
      <c r="A63" s="475"/>
      <c r="B63" s="477"/>
      <c r="C63" s="195"/>
      <c r="D63" s="199" t="s">
        <v>215</v>
      </c>
      <c r="E63" s="195"/>
    </row>
    <row r="64" spans="1:5">
      <c r="A64" s="476"/>
      <c r="B64" s="478"/>
      <c r="C64" s="195"/>
      <c r="D64" s="199" t="s">
        <v>215</v>
      </c>
      <c r="E64" s="195"/>
    </row>
    <row r="65" spans="1:5" ht="69.75" customHeight="1">
      <c r="A65" s="110">
        <v>4</v>
      </c>
      <c r="B65" s="159" t="s">
        <v>53</v>
      </c>
      <c r="C65" s="50" t="s">
        <v>54</v>
      </c>
      <c r="D65" s="199" t="s">
        <v>215</v>
      </c>
      <c r="E65" s="195"/>
    </row>
    <row r="66" spans="1:5">
      <c r="A66" s="715">
        <v>5</v>
      </c>
      <c r="B66" s="466" t="s">
        <v>55</v>
      </c>
      <c r="C66" s="195" t="s">
        <v>22</v>
      </c>
      <c r="D66" s="199" t="s">
        <v>215</v>
      </c>
      <c r="E66" s="195"/>
    </row>
    <row r="67" spans="1:5">
      <c r="A67" s="716"/>
      <c r="B67" s="652"/>
      <c r="C67" s="195" t="s">
        <v>36</v>
      </c>
      <c r="D67" s="199" t="s">
        <v>215</v>
      </c>
      <c r="E67" s="193"/>
    </row>
    <row r="68" spans="1:5" ht="29.25" customHeight="1">
      <c r="A68" s="716"/>
      <c r="B68" s="652"/>
      <c r="C68" s="195" t="s">
        <v>36</v>
      </c>
      <c r="D68" s="199" t="s">
        <v>215</v>
      </c>
      <c r="E68" s="193"/>
    </row>
    <row r="69" spans="1:5">
      <c r="A69" s="716"/>
      <c r="B69" s="716"/>
      <c r="C69" s="193"/>
      <c r="D69" s="199" t="s">
        <v>215</v>
      </c>
      <c r="E69" s="193"/>
    </row>
    <row r="70" spans="1:5">
      <c r="A70" s="716"/>
      <c r="B70" s="716"/>
      <c r="C70" s="193"/>
      <c r="D70" s="199" t="s">
        <v>215</v>
      </c>
      <c r="E70" s="193"/>
    </row>
    <row r="71" spans="1:5">
      <c r="A71" s="716"/>
      <c r="B71" s="716"/>
      <c r="C71" s="193"/>
      <c r="D71" s="199" t="s">
        <v>215</v>
      </c>
      <c r="E71" s="193"/>
    </row>
    <row r="74" spans="1:5">
      <c r="A74" s="111" t="s">
        <v>89</v>
      </c>
      <c r="B74" s="111"/>
      <c r="C74" s="111"/>
      <c r="D74" s="111"/>
      <c r="E74" s="111"/>
    </row>
    <row r="75" spans="1:5">
      <c r="A75" s="111"/>
      <c r="B75" s="111" t="s">
        <v>25</v>
      </c>
      <c r="C75" s="111"/>
      <c r="D75" s="111"/>
      <c r="E75" s="111"/>
    </row>
    <row r="76" spans="1:5">
      <c r="A76" s="111"/>
      <c r="B76" s="204" t="s">
        <v>93</v>
      </c>
      <c r="C76" s="111"/>
      <c r="D76" s="111"/>
      <c r="E76" s="111"/>
    </row>
    <row r="78" spans="1:5" ht="46.5">
      <c r="A78" s="371" t="s">
        <v>6</v>
      </c>
      <c r="B78" s="371" t="s">
        <v>5</v>
      </c>
      <c r="C78" s="371" t="s">
        <v>7</v>
      </c>
      <c r="D78" s="371" t="s">
        <v>12</v>
      </c>
      <c r="E78" s="371" t="s">
        <v>51</v>
      </c>
    </row>
    <row r="79" spans="1:5">
      <c r="A79" s="474">
        <v>1</v>
      </c>
      <c r="B79" s="512" t="s">
        <v>154</v>
      </c>
      <c r="C79" s="195" t="s">
        <v>97</v>
      </c>
      <c r="D79" s="199" t="s">
        <v>215</v>
      </c>
      <c r="E79" s="195"/>
    </row>
    <row r="80" spans="1:5" ht="42">
      <c r="A80" s="475"/>
      <c r="B80" s="513"/>
      <c r="C80" s="195" t="s">
        <v>98</v>
      </c>
      <c r="D80" s="199" t="s">
        <v>215</v>
      </c>
      <c r="E80" s="195"/>
    </row>
    <row r="81" spans="1:5">
      <c r="A81" s="476"/>
      <c r="B81" s="514"/>
      <c r="C81" s="195"/>
      <c r="D81" s="199" t="s">
        <v>215</v>
      </c>
      <c r="E81" s="195"/>
    </row>
    <row r="82" spans="1:5" ht="35.25" customHeight="1">
      <c r="A82" s="474">
        <v>2</v>
      </c>
      <c r="B82" s="471" t="s">
        <v>155</v>
      </c>
      <c r="C82" s="195" t="s">
        <v>99</v>
      </c>
      <c r="D82" s="199" t="s">
        <v>215</v>
      </c>
      <c r="E82" s="195"/>
    </row>
    <row r="83" spans="1:5" ht="48" customHeight="1">
      <c r="A83" s="475"/>
      <c r="B83" s="477"/>
      <c r="C83" s="195" t="s">
        <v>100</v>
      </c>
      <c r="D83" s="199" t="s">
        <v>215</v>
      </c>
      <c r="E83" s="195"/>
    </row>
    <row r="84" spans="1:5" ht="39" customHeight="1">
      <c r="A84" s="476"/>
      <c r="B84" s="478"/>
      <c r="C84" s="195"/>
      <c r="D84" s="199" t="s">
        <v>215</v>
      </c>
      <c r="E84" s="195"/>
    </row>
    <row r="85" spans="1:5" ht="42">
      <c r="A85" s="474">
        <v>3</v>
      </c>
      <c r="B85" s="471" t="s">
        <v>14</v>
      </c>
      <c r="C85" s="195" t="s">
        <v>101</v>
      </c>
      <c r="D85" s="199" t="s">
        <v>215</v>
      </c>
      <c r="E85" s="195"/>
    </row>
    <row r="86" spans="1:5">
      <c r="A86" s="475"/>
      <c r="B86" s="477"/>
      <c r="C86" s="195"/>
      <c r="D86" s="199" t="s">
        <v>215</v>
      </c>
      <c r="E86" s="195"/>
    </row>
    <row r="87" spans="1:5">
      <c r="A87" s="475"/>
      <c r="B87" s="477"/>
      <c r="C87" s="195"/>
      <c r="D87" s="199" t="s">
        <v>215</v>
      </c>
      <c r="E87" s="195"/>
    </row>
    <row r="88" spans="1:5">
      <c r="A88" s="476"/>
      <c r="B88" s="478"/>
      <c r="C88" s="195"/>
      <c r="D88" s="199" t="s">
        <v>215</v>
      </c>
      <c r="E88" s="195"/>
    </row>
    <row r="89" spans="1:5" ht="63.75">
      <c r="A89" s="110">
        <v>4</v>
      </c>
      <c r="B89" s="159" t="s">
        <v>53</v>
      </c>
      <c r="C89" s="50" t="s">
        <v>54</v>
      </c>
      <c r="D89" s="199" t="s">
        <v>215</v>
      </c>
      <c r="E89" s="195"/>
    </row>
    <row r="90" spans="1:5">
      <c r="A90" s="715">
        <v>5</v>
      </c>
      <c r="B90" s="466" t="s">
        <v>55</v>
      </c>
      <c r="C90" s="195" t="s">
        <v>22</v>
      </c>
      <c r="D90" s="199" t="s">
        <v>215</v>
      </c>
      <c r="E90" s="195"/>
    </row>
    <row r="91" spans="1:5">
      <c r="A91" s="716"/>
      <c r="B91" s="652"/>
      <c r="C91" s="195" t="s">
        <v>36</v>
      </c>
      <c r="D91" s="199" t="s">
        <v>215</v>
      </c>
      <c r="E91" s="193"/>
    </row>
    <row r="92" spans="1:5" ht="29.25" customHeight="1">
      <c r="A92" s="716"/>
      <c r="B92" s="652"/>
      <c r="C92" s="195" t="s">
        <v>36</v>
      </c>
      <c r="D92" s="199" t="s">
        <v>215</v>
      </c>
      <c r="E92" s="193"/>
    </row>
    <row r="93" spans="1:5">
      <c r="A93" s="716"/>
      <c r="B93" s="716"/>
      <c r="C93" s="193"/>
      <c r="D93" s="199" t="s">
        <v>215</v>
      </c>
      <c r="E93" s="193"/>
    </row>
    <row r="94" spans="1:5">
      <c r="A94" s="716"/>
      <c r="B94" s="716"/>
      <c r="C94" s="193"/>
      <c r="D94" s="199" t="s">
        <v>215</v>
      </c>
      <c r="E94" s="193"/>
    </row>
    <row r="95" spans="1:5">
      <c r="A95" s="716"/>
      <c r="B95" s="716"/>
      <c r="C95" s="193"/>
      <c r="D95" s="199" t="s">
        <v>215</v>
      </c>
      <c r="E95" s="193"/>
    </row>
    <row r="98" spans="1:5">
      <c r="A98" s="111" t="s">
        <v>89</v>
      </c>
      <c r="B98" s="111"/>
      <c r="C98" s="111"/>
      <c r="D98" s="111"/>
      <c r="E98" s="111"/>
    </row>
    <row r="99" spans="1:5">
      <c r="A99" s="111"/>
      <c r="B99" s="111" t="s">
        <v>25</v>
      </c>
      <c r="C99" s="111"/>
      <c r="D99" s="111"/>
      <c r="E99" s="111"/>
    </row>
    <row r="100" spans="1:5">
      <c r="A100" s="111"/>
      <c r="B100" s="204" t="s">
        <v>94</v>
      </c>
      <c r="C100" s="111"/>
      <c r="D100" s="111"/>
      <c r="E100" s="111"/>
    </row>
    <row r="102" spans="1:5" ht="46.5">
      <c r="A102" s="371" t="s">
        <v>6</v>
      </c>
      <c r="B102" s="371" t="s">
        <v>5</v>
      </c>
      <c r="C102" s="371" t="s">
        <v>7</v>
      </c>
      <c r="D102" s="371" t="s">
        <v>12</v>
      </c>
      <c r="E102" s="371" t="s">
        <v>51</v>
      </c>
    </row>
    <row r="103" spans="1:5">
      <c r="A103" s="474">
        <v>1</v>
      </c>
      <c r="B103" s="512" t="s">
        <v>154</v>
      </c>
      <c r="C103" s="195" t="s">
        <v>97</v>
      </c>
      <c r="D103" s="199" t="s">
        <v>215</v>
      </c>
      <c r="E103" s="195"/>
    </row>
    <row r="104" spans="1:5" ht="42">
      <c r="A104" s="475"/>
      <c r="B104" s="513"/>
      <c r="C104" s="195" t="s">
        <v>98</v>
      </c>
      <c r="D104" s="199" t="s">
        <v>215</v>
      </c>
      <c r="E104" s="195"/>
    </row>
    <row r="105" spans="1:5">
      <c r="A105" s="476"/>
      <c r="B105" s="514"/>
      <c r="C105" s="195"/>
      <c r="D105" s="199" t="s">
        <v>215</v>
      </c>
      <c r="E105" s="195"/>
    </row>
    <row r="106" spans="1:5" ht="29.25" customHeight="1">
      <c r="A106" s="474">
        <v>2</v>
      </c>
      <c r="B106" s="471" t="s">
        <v>155</v>
      </c>
      <c r="C106" s="195" t="s">
        <v>99</v>
      </c>
      <c r="D106" s="199" t="s">
        <v>215</v>
      </c>
      <c r="E106" s="195"/>
    </row>
    <row r="107" spans="1:5" ht="45" customHeight="1">
      <c r="A107" s="475"/>
      <c r="B107" s="477"/>
      <c r="C107" s="195" t="s">
        <v>100</v>
      </c>
      <c r="D107" s="199" t="s">
        <v>215</v>
      </c>
      <c r="E107" s="195"/>
    </row>
    <row r="108" spans="1:5" ht="37.5" customHeight="1">
      <c r="A108" s="476"/>
      <c r="B108" s="478"/>
      <c r="C108" s="195"/>
      <c r="D108" s="199" t="s">
        <v>215</v>
      </c>
      <c r="E108" s="195"/>
    </row>
    <row r="109" spans="1:5" ht="42">
      <c r="A109" s="474">
        <v>3</v>
      </c>
      <c r="B109" s="471" t="s">
        <v>14</v>
      </c>
      <c r="C109" s="195" t="s">
        <v>101</v>
      </c>
      <c r="D109" s="199" t="s">
        <v>215</v>
      </c>
      <c r="E109" s="195"/>
    </row>
    <row r="110" spans="1:5">
      <c r="A110" s="475"/>
      <c r="B110" s="477"/>
      <c r="C110" s="195"/>
      <c r="D110" s="199" t="s">
        <v>215</v>
      </c>
      <c r="E110" s="195"/>
    </row>
    <row r="111" spans="1:5">
      <c r="A111" s="475"/>
      <c r="B111" s="477"/>
      <c r="C111" s="195"/>
      <c r="D111" s="199" t="s">
        <v>215</v>
      </c>
      <c r="E111" s="195"/>
    </row>
    <row r="112" spans="1:5">
      <c r="A112" s="476"/>
      <c r="B112" s="478"/>
      <c r="C112" s="195"/>
      <c r="D112" s="199" t="s">
        <v>215</v>
      </c>
      <c r="E112" s="195"/>
    </row>
    <row r="113" spans="1:5" ht="63.75">
      <c r="A113" s="110">
        <v>4</v>
      </c>
      <c r="B113" s="159" t="s">
        <v>53</v>
      </c>
      <c r="C113" s="50" t="s">
        <v>54</v>
      </c>
      <c r="D113" s="199" t="s">
        <v>215</v>
      </c>
      <c r="E113" s="195"/>
    </row>
    <row r="114" spans="1:5">
      <c r="A114" s="715">
        <v>5</v>
      </c>
      <c r="B114" s="466" t="s">
        <v>55</v>
      </c>
      <c r="C114" s="195" t="s">
        <v>22</v>
      </c>
      <c r="D114" s="199" t="s">
        <v>215</v>
      </c>
      <c r="E114" s="195"/>
    </row>
    <row r="115" spans="1:5">
      <c r="A115" s="716"/>
      <c r="B115" s="652"/>
      <c r="C115" s="195" t="s">
        <v>36</v>
      </c>
      <c r="D115" s="199" t="s">
        <v>215</v>
      </c>
      <c r="E115" s="193"/>
    </row>
    <row r="116" spans="1:5" ht="29.25" customHeight="1">
      <c r="A116" s="716"/>
      <c r="B116" s="652"/>
      <c r="C116" s="195" t="s">
        <v>36</v>
      </c>
      <c r="D116" s="199" t="s">
        <v>215</v>
      </c>
      <c r="E116" s="193"/>
    </row>
    <row r="117" spans="1:5">
      <c r="A117" s="716"/>
      <c r="B117" s="716"/>
      <c r="C117" s="193"/>
      <c r="D117" s="199" t="s">
        <v>215</v>
      </c>
      <c r="E117" s="193"/>
    </row>
    <row r="118" spans="1:5">
      <c r="A118" s="716"/>
      <c r="B118" s="716"/>
      <c r="C118" s="193"/>
      <c r="D118" s="199" t="s">
        <v>215</v>
      </c>
      <c r="E118" s="193"/>
    </row>
    <row r="119" spans="1:5">
      <c r="A119" s="716"/>
      <c r="B119" s="716"/>
      <c r="C119" s="193"/>
      <c r="D119" s="199" t="s">
        <v>215</v>
      </c>
      <c r="E119" s="193"/>
    </row>
    <row r="122" spans="1:5">
      <c r="A122" s="111" t="s">
        <v>89</v>
      </c>
      <c r="B122" s="111"/>
      <c r="C122" s="111"/>
      <c r="D122" s="111"/>
      <c r="E122" s="111"/>
    </row>
    <row r="123" spans="1:5">
      <c r="A123" s="111"/>
      <c r="B123" s="111" t="s">
        <v>25</v>
      </c>
      <c r="C123" s="111"/>
      <c r="D123" s="111"/>
      <c r="E123" s="111"/>
    </row>
    <row r="124" spans="1:5">
      <c r="A124" s="111"/>
      <c r="B124" s="204" t="s">
        <v>95</v>
      </c>
      <c r="C124" s="111"/>
      <c r="D124" s="111"/>
      <c r="E124" s="111"/>
    </row>
    <row r="126" spans="1:5" ht="46.5">
      <c r="A126" s="371" t="s">
        <v>6</v>
      </c>
      <c r="B126" s="371" t="s">
        <v>5</v>
      </c>
      <c r="C126" s="371" t="s">
        <v>7</v>
      </c>
      <c r="D126" s="371" t="s">
        <v>12</v>
      </c>
      <c r="E126" s="371" t="s">
        <v>51</v>
      </c>
    </row>
    <row r="127" spans="1:5">
      <c r="A127" s="474">
        <v>1</v>
      </c>
      <c r="B127" s="512" t="s">
        <v>154</v>
      </c>
      <c r="C127" s="195" t="s">
        <v>97</v>
      </c>
      <c r="D127" s="199" t="s">
        <v>215</v>
      </c>
      <c r="E127" s="195"/>
    </row>
    <row r="128" spans="1:5" ht="42">
      <c r="A128" s="475"/>
      <c r="B128" s="513"/>
      <c r="C128" s="195" t="s">
        <v>98</v>
      </c>
      <c r="D128" s="199" t="s">
        <v>215</v>
      </c>
      <c r="E128" s="195"/>
    </row>
    <row r="129" spans="1:5">
      <c r="A129" s="476"/>
      <c r="B129" s="514"/>
      <c r="C129" s="195"/>
      <c r="D129" s="199" t="s">
        <v>215</v>
      </c>
      <c r="E129" s="195"/>
    </row>
    <row r="130" spans="1:5" ht="38.25" customHeight="1">
      <c r="A130" s="474">
        <v>2</v>
      </c>
      <c r="B130" s="512" t="s">
        <v>155</v>
      </c>
      <c r="C130" s="195" t="s">
        <v>99</v>
      </c>
      <c r="D130" s="199" t="s">
        <v>215</v>
      </c>
      <c r="E130" s="195"/>
    </row>
    <row r="131" spans="1:5" ht="48" customHeight="1">
      <c r="A131" s="475"/>
      <c r="B131" s="453"/>
      <c r="C131" s="195" t="s">
        <v>100</v>
      </c>
      <c r="D131" s="199" t="s">
        <v>215</v>
      </c>
      <c r="E131" s="195"/>
    </row>
    <row r="132" spans="1:5" ht="35.25" customHeight="1">
      <c r="A132" s="476"/>
      <c r="B132" s="454"/>
      <c r="C132" s="195"/>
      <c r="D132" s="199" t="s">
        <v>215</v>
      </c>
      <c r="E132" s="195"/>
    </row>
    <row r="133" spans="1:5" ht="42">
      <c r="A133" s="474">
        <v>3</v>
      </c>
      <c r="B133" s="471" t="s">
        <v>14</v>
      </c>
      <c r="C133" s="195" t="s">
        <v>101</v>
      </c>
      <c r="D133" s="199" t="s">
        <v>215</v>
      </c>
      <c r="E133" s="195"/>
    </row>
    <row r="134" spans="1:5">
      <c r="A134" s="475"/>
      <c r="B134" s="477"/>
      <c r="C134" s="195"/>
      <c r="D134" s="199" t="s">
        <v>215</v>
      </c>
      <c r="E134" s="195"/>
    </row>
    <row r="135" spans="1:5">
      <c r="A135" s="475"/>
      <c r="B135" s="477"/>
      <c r="C135" s="195"/>
      <c r="D135" s="199" t="s">
        <v>215</v>
      </c>
      <c r="E135" s="195"/>
    </row>
    <row r="136" spans="1:5">
      <c r="A136" s="476"/>
      <c r="B136" s="478"/>
      <c r="C136" s="195"/>
      <c r="D136" s="199" t="s">
        <v>215</v>
      </c>
      <c r="E136" s="195"/>
    </row>
    <row r="137" spans="1:5" ht="52.15" customHeight="1">
      <c r="A137" s="110">
        <v>4</v>
      </c>
      <c r="B137" s="373" t="s">
        <v>53</v>
      </c>
      <c r="C137" s="50" t="s">
        <v>54</v>
      </c>
      <c r="D137" s="199" t="s">
        <v>215</v>
      </c>
      <c r="E137" s="195"/>
    </row>
    <row r="138" spans="1:5">
      <c r="A138" s="715">
        <v>5</v>
      </c>
      <c r="B138" s="651" t="s">
        <v>55</v>
      </c>
      <c r="C138" s="195" t="s">
        <v>22</v>
      </c>
      <c r="D138" s="199" t="s">
        <v>215</v>
      </c>
      <c r="E138" s="195"/>
    </row>
    <row r="139" spans="1:5">
      <c r="A139" s="716"/>
      <c r="B139" s="457"/>
      <c r="C139" s="195" t="s">
        <v>36</v>
      </c>
      <c r="D139" s="199" t="s">
        <v>215</v>
      </c>
      <c r="E139" s="193"/>
    </row>
    <row r="140" spans="1:5" ht="29.25" customHeight="1">
      <c r="A140" s="716"/>
      <c r="B140" s="457"/>
      <c r="C140" s="195" t="s">
        <v>36</v>
      </c>
      <c r="D140" s="199" t="s">
        <v>215</v>
      </c>
      <c r="E140" s="193"/>
    </row>
    <row r="141" spans="1:5">
      <c r="A141" s="716"/>
      <c r="B141" s="717"/>
      <c r="C141" s="193"/>
      <c r="D141" s="199" t="s">
        <v>215</v>
      </c>
      <c r="E141" s="193"/>
    </row>
    <row r="142" spans="1:5">
      <c r="A142" s="716"/>
      <c r="B142" s="717"/>
      <c r="C142" s="193"/>
      <c r="D142" s="199" t="s">
        <v>215</v>
      </c>
      <c r="E142" s="193"/>
    </row>
    <row r="143" spans="1:5">
      <c r="A143" s="716"/>
      <c r="B143" s="717"/>
      <c r="C143" s="193"/>
      <c r="D143" s="199" t="s">
        <v>215</v>
      </c>
      <c r="E143" s="193"/>
    </row>
    <row r="146" spans="1:5">
      <c r="A146" s="111" t="s">
        <v>89</v>
      </c>
      <c r="B146" s="111"/>
      <c r="C146" s="111"/>
      <c r="D146" s="111"/>
      <c r="E146" s="111"/>
    </row>
    <row r="147" spans="1:5">
      <c r="A147" s="111"/>
      <c r="B147" s="111" t="s">
        <v>25</v>
      </c>
      <c r="C147" s="111"/>
      <c r="D147" s="111"/>
      <c r="E147" s="111"/>
    </row>
    <row r="148" spans="1:5">
      <c r="A148" s="111"/>
      <c r="B148" s="204" t="s">
        <v>96</v>
      </c>
      <c r="C148" s="111"/>
      <c r="D148" s="111"/>
      <c r="E148" s="111"/>
    </row>
    <row r="150" spans="1:5" ht="46.5">
      <c r="A150" s="371" t="s">
        <v>6</v>
      </c>
      <c r="B150" s="371" t="s">
        <v>5</v>
      </c>
      <c r="C150" s="371" t="s">
        <v>7</v>
      </c>
      <c r="D150" s="371" t="s">
        <v>12</v>
      </c>
      <c r="E150" s="371" t="s">
        <v>51</v>
      </c>
    </row>
    <row r="151" spans="1:5">
      <c r="A151" s="474">
        <v>1</v>
      </c>
      <c r="B151" s="512" t="s">
        <v>154</v>
      </c>
      <c r="C151" s="195" t="s">
        <v>97</v>
      </c>
      <c r="D151" s="199" t="s">
        <v>215</v>
      </c>
      <c r="E151" s="195"/>
    </row>
    <row r="152" spans="1:5" ht="42">
      <c r="A152" s="475"/>
      <c r="B152" s="513"/>
      <c r="C152" s="195" t="s">
        <v>98</v>
      </c>
      <c r="D152" s="199" t="s">
        <v>215</v>
      </c>
      <c r="E152" s="195"/>
    </row>
    <row r="153" spans="1:5">
      <c r="A153" s="476"/>
      <c r="B153" s="514"/>
      <c r="C153" s="195"/>
      <c r="D153" s="199" t="s">
        <v>215</v>
      </c>
      <c r="E153" s="195"/>
    </row>
    <row r="154" spans="1:5" ht="39.75" customHeight="1">
      <c r="A154" s="474">
        <v>2</v>
      </c>
      <c r="B154" s="512" t="s">
        <v>155</v>
      </c>
      <c r="C154" s="195" t="s">
        <v>99</v>
      </c>
      <c r="D154" s="199" t="s">
        <v>215</v>
      </c>
      <c r="E154" s="195"/>
    </row>
    <row r="155" spans="1:5" ht="42">
      <c r="A155" s="475"/>
      <c r="B155" s="453"/>
      <c r="C155" s="195" t="s">
        <v>100</v>
      </c>
      <c r="D155" s="199" t="s">
        <v>215</v>
      </c>
      <c r="E155" s="195"/>
    </row>
    <row r="156" spans="1:5" ht="39" customHeight="1">
      <c r="A156" s="476"/>
      <c r="B156" s="454"/>
      <c r="C156" s="195"/>
      <c r="D156" s="199" t="s">
        <v>215</v>
      </c>
      <c r="E156" s="195"/>
    </row>
    <row r="157" spans="1:5" ht="42">
      <c r="A157" s="474">
        <v>3</v>
      </c>
      <c r="B157" s="471" t="s">
        <v>14</v>
      </c>
      <c r="C157" s="195" t="s">
        <v>101</v>
      </c>
      <c r="D157" s="199" t="s">
        <v>215</v>
      </c>
      <c r="E157" s="195"/>
    </row>
    <row r="158" spans="1:5">
      <c r="A158" s="475"/>
      <c r="B158" s="477"/>
      <c r="C158" s="195"/>
      <c r="D158" s="199" t="s">
        <v>215</v>
      </c>
      <c r="E158" s="195"/>
    </row>
    <row r="159" spans="1:5">
      <c r="A159" s="475"/>
      <c r="B159" s="477"/>
      <c r="C159" s="195"/>
      <c r="D159" s="199" t="s">
        <v>215</v>
      </c>
      <c r="E159" s="195"/>
    </row>
    <row r="160" spans="1:5">
      <c r="A160" s="476"/>
      <c r="B160" s="478"/>
      <c r="C160" s="195"/>
      <c r="D160" s="199" t="s">
        <v>215</v>
      </c>
      <c r="E160" s="195"/>
    </row>
    <row r="161" spans="1:5" ht="63">
      <c r="A161" s="110">
        <v>4</v>
      </c>
      <c r="B161" s="373" t="s">
        <v>53</v>
      </c>
      <c r="C161" s="50" t="s">
        <v>54</v>
      </c>
      <c r="D161" s="199" t="s">
        <v>215</v>
      </c>
      <c r="E161" s="195"/>
    </row>
    <row r="162" spans="1:5">
      <c r="A162" s="715">
        <v>5</v>
      </c>
      <c r="B162" s="651" t="s">
        <v>55</v>
      </c>
      <c r="C162" s="195" t="s">
        <v>22</v>
      </c>
      <c r="D162" s="199" t="s">
        <v>215</v>
      </c>
      <c r="E162" s="195"/>
    </row>
    <row r="163" spans="1:5">
      <c r="A163" s="716"/>
      <c r="B163" s="457"/>
      <c r="C163" s="195" t="s">
        <v>36</v>
      </c>
      <c r="D163" s="199" t="s">
        <v>215</v>
      </c>
      <c r="E163" s="193"/>
    </row>
    <row r="164" spans="1:5" ht="29.25" customHeight="1">
      <c r="A164" s="716"/>
      <c r="B164" s="457"/>
      <c r="C164" s="195" t="s">
        <v>36</v>
      </c>
      <c r="D164" s="199" t="s">
        <v>215</v>
      </c>
      <c r="E164" s="193"/>
    </row>
    <row r="165" spans="1:5">
      <c r="A165" s="716"/>
      <c r="B165" s="717"/>
      <c r="C165" s="193"/>
      <c r="D165" s="199" t="s">
        <v>215</v>
      </c>
      <c r="E165" s="193"/>
    </row>
    <row r="166" spans="1:5">
      <c r="A166" s="716"/>
      <c r="B166" s="717"/>
      <c r="C166" s="193"/>
      <c r="D166" s="199" t="s">
        <v>215</v>
      </c>
      <c r="E166" s="193"/>
    </row>
    <row r="167" spans="1:5">
      <c r="A167" s="716"/>
      <c r="B167" s="717"/>
      <c r="C167" s="193"/>
      <c r="D167" s="199" t="s">
        <v>215</v>
      </c>
      <c r="E167" s="193"/>
    </row>
    <row r="170" spans="1:5">
      <c r="A170" s="111" t="s">
        <v>89</v>
      </c>
      <c r="B170" s="111"/>
      <c r="C170" s="111"/>
      <c r="D170" s="111"/>
      <c r="E170" s="111"/>
    </row>
    <row r="171" spans="1:5">
      <c r="A171" s="111"/>
      <c r="B171" s="111" t="s">
        <v>25</v>
      </c>
      <c r="C171" s="111"/>
      <c r="D171" s="111"/>
      <c r="E171" s="111"/>
    </row>
    <row r="172" spans="1:5">
      <c r="A172" s="111"/>
      <c r="B172" s="204" t="s">
        <v>90</v>
      </c>
      <c r="C172" s="111"/>
      <c r="D172" s="111"/>
      <c r="E172" s="111"/>
    </row>
    <row r="173" spans="1:5">
      <c r="A173" s="111"/>
      <c r="B173" s="204" t="s">
        <v>91</v>
      </c>
      <c r="C173" s="111"/>
      <c r="D173" s="111"/>
      <c r="E173" s="111"/>
    </row>
    <row r="174" spans="1:5">
      <c r="A174" s="111"/>
      <c r="B174" s="204" t="s">
        <v>92</v>
      </c>
      <c r="C174" s="111"/>
      <c r="D174" s="111"/>
      <c r="E174" s="111"/>
    </row>
    <row r="175" spans="1:5">
      <c r="A175" s="111"/>
      <c r="B175" s="204" t="s">
        <v>93</v>
      </c>
      <c r="C175" s="111"/>
      <c r="D175" s="111"/>
      <c r="E175" s="111"/>
    </row>
    <row r="176" spans="1:5">
      <c r="A176" s="111"/>
      <c r="B176" s="204" t="s">
        <v>94</v>
      </c>
      <c r="C176" s="111"/>
      <c r="D176" s="111"/>
      <c r="E176" s="111"/>
    </row>
    <row r="177" spans="1:5">
      <c r="A177" s="111"/>
      <c r="B177" s="204" t="s">
        <v>95</v>
      </c>
      <c r="C177" s="111"/>
      <c r="D177" s="111"/>
      <c r="E177" s="111"/>
    </row>
    <row r="178" spans="1:5">
      <c r="A178" s="111"/>
      <c r="B178" s="204" t="s">
        <v>96</v>
      </c>
      <c r="C178" s="111"/>
      <c r="D178" s="111"/>
      <c r="E178" s="111"/>
    </row>
    <row r="180" spans="1:5" ht="46.5">
      <c r="A180" s="371" t="s">
        <v>6</v>
      </c>
      <c r="B180" s="371" t="s">
        <v>5</v>
      </c>
      <c r="C180" s="371" t="s">
        <v>7</v>
      </c>
      <c r="D180" s="371" t="s">
        <v>12</v>
      </c>
      <c r="E180" s="371" t="s">
        <v>51</v>
      </c>
    </row>
    <row r="181" spans="1:5">
      <c r="A181" s="474">
        <v>1</v>
      </c>
      <c r="B181" s="512" t="s">
        <v>154</v>
      </c>
      <c r="C181" s="195" t="s">
        <v>97</v>
      </c>
      <c r="D181" s="199" t="s">
        <v>215</v>
      </c>
      <c r="E181" s="195"/>
    </row>
    <row r="182" spans="1:5" ht="42">
      <c r="A182" s="475"/>
      <c r="B182" s="513"/>
      <c r="C182" s="195" t="s">
        <v>98</v>
      </c>
      <c r="D182" s="199" t="s">
        <v>215</v>
      </c>
      <c r="E182" s="195"/>
    </row>
    <row r="183" spans="1:5">
      <c r="A183" s="476"/>
      <c r="B183" s="514"/>
      <c r="C183" s="195"/>
      <c r="D183" s="199" t="s">
        <v>215</v>
      </c>
      <c r="E183" s="195"/>
    </row>
    <row r="184" spans="1:5" ht="41.25" customHeight="1">
      <c r="A184" s="474">
        <v>2</v>
      </c>
      <c r="B184" s="471" t="s">
        <v>155</v>
      </c>
      <c r="C184" s="195" t="s">
        <v>99</v>
      </c>
      <c r="D184" s="199" t="s">
        <v>215</v>
      </c>
      <c r="E184" s="195"/>
    </row>
    <row r="185" spans="1:5" ht="48.75" customHeight="1">
      <c r="A185" s="475"/>
      <c r="B185" s="477"/>
      <c r="C185" s="195" t="s">
        <v>100</v>
      </c>
      <c r="D185" s="199" t="s">
        <v>215</v>
      </c>
      <c r="E185" s="195"/>
    </row>
    <row r="186" spans="1:5" ht="36.75" customHeight="1">
      <c r="A186" s="476"/>
      <c r="B186" s="478"/>
      <c r="C186" s="195"/>
      <c r="D186" s="199" t="s">
        <v>215</v>
      </c>
      <c r="E186" s="195"/>
    </row>
    <row r="187" spans="1:5" ht="42">
      <c r="A187" s="474">
        <v>3</v>
      </c>
      <c r="B187" s="471" t="s">
        <v>14</v>
      </c>
      <c r="C187" s="195" t="s">
        <v>101</v>
      </c>
      <c r="D187" s="199" t="s">
        <v>215</v>
      </c>
      <c r="E187" s="195"/>
    </row>
    <row r="188" spans="1:5">
      <c r="A188" s="475"/>
      <c r="B188" s="477"/>
      <c r="C188" s="195"/>
      <c r="D188" s="199" t="s">
        <v>215</v>
      </c>
      <c r="E188" s="195"/>
    </row>
    <row r="189" spans="1:5">
      <c r="A189" s="475"/>
      <c r="B189" s="477"/>
      <c r="C189" s="195"/>
      <c r="D189" s="199" t="s">
        <v>215</v>
      </c>
      <c r="E189" s="195"/>
    </row>
    <row r="190" spans="1:5">
      <c r="A190" s="476"/>
      <c r="B190" s="478"/>
      <c r="C190" s="195"/>
      <c r="D190" s="199" t="s">
        <v>215</v>
      </c>
      <c r="E190" s="195"/>
    </row>
    <row r="191" spans="1:5" ht="51.6" customHeight="1">
      <c r="A191" s="110">
        <v>4</v>
      </c>
      <c r="B191" s="373" t="s">
        <v>53</v>
      </c>
      <c r="C191" s="50" t="s">
        <v>54</v>
      </c>
      <c r="D191" s="199" t="s">
        <v>215</v>
      </c>
      <c r="E191" s="195"/>
    </row>
    <row r="192" spans="1:5" ht="25.5" customHeight="1">
      <c r="A192" s="715">
        <v>5</v>
      </c>
      <c r="B192" s="466" t="s">
        <v>55</v>
      </c>
      <c r="C192" s="195" t="s">
        <v>22</v>
      </c>
      <c r="D192" s="199" t="s">
        <v>215</v>
      </c>
      <c r="E192" s="195"/>
    </row>
    <row r="193" spans="1:5" ht="25.5" customHeight="1">
      <c r="A193" s="716"/>
      <c r="B193" s="652"/>
      <c r="C193" s="195" t="s">
        <v>36</v>
      </c>
      <c r="D193" s="199" t="s">
        <v>215</v>
      </c>
      <c r="E193" s="193"/>
    </row>
    <row r="194" spans="1:5" ht="29.25" customHeight="1">
      <c r="A194" s="716"/>
      <c r="B194" s="652"/>
      <c r="C194" s="195" t="s">
        <v>36</v>
      </c>
      <c r="D194" s="199" t="s">
        <v>215</v>
      </c>
      <c r="E194" s="193"/>
    </row>
    <row r="195" spans="1:5">
      <c r="A195" s="716"/>
      <c r="B195" s="716"/>
      <c r="C195" s="193"/>
      <c r="D195" s="199" t="s">
        <v>215</v>
      </c>
      <c r="E195" s="193"/>
    </row>
    <row r="196" spans="1:5">
      <c r="A196" s="716"/>
      <c r="B196" s="716"/>
      <c r="C196" s="193"/>
      <c r="D196" s="199" t="s">
        <v>215</v>
      </c>
      <c r="E196" s="193"/>
    </row>
    <row r="197" spans="1:5" ht="30" customHeight="1">
      <c r="A197" s="716"/>
      <c r="B197" s="716"/>
      <c r="C197" s="193"/>
      <c r="D197" s="199" t="s">
        <v>215</v>
      </c>
      <c r="E197" s="193"/>
    </row>
    <row r="199" spans="1:5" ht="45" customHeight="1">
      <c r="B199" s="712" t="s">
        <v>307</v>
      </c>
      <c r="C199" s="718"/>
      <c r="D199" s="202">
        <v>5</v>
      </c>
      <c r="E199" s="203" t="s">
        <v>6</v>
      </c>
    </row>
  </sheetData>
  <sheetProtection algorithmName="SHA-512" hashValue="JLn4R/jR57O3bb4jQmQlufYa+fvg1xwLDvmnLAOq2nBU+JVZPH3HwW1B9vnxDX8Ob7LqxCgih706coqiD/GJNw==" saltValue="znex/UqgXZORjzi6Zkb8hg==" spinCount="100000" sheet="1" objects="1" scenarios="1" formatRows="0"/>
  <protectedRanges>
    <protectedRange sqref="C8:E24 C31:E47 C55:E71 C79:E95 C103:E119 C127:E143 C151:E167 C181:E197 D199" name="Range1"/>
  </protectedRanges>
  <mergeCells count="66">
    <mergeCell ref="B199:C199"/>
    <mergeCell ref="A192:A197"/>
    <mergeCell ref="B192:B197"/>
    <mergeCell ref="A181:A183"/>
    <mergeCell ref="B181:B183"/>
    <mergeCell ref="A184:A186"/>
    <mergeCell ref="B184:B186"/>
    <mergeCell ref="A187:A190"/>
    <mergeCell ref="B187:B190"/>
    <mergeCell ref="A154:A156"/>
    <mergeCell ref="B154:B156"/>
    <mergeCell ref="A157:A160"/>
    <mergeCell ref="B157:B160"/>
    <mergeCell ref="A162:A167"/>
    <mergeCell ref="B162:B167"/>
    <mergeCell ref="A133:A136"/>
    <mergeCell ref="B133:B136"/>
    <mergeCell ref="A138:A143"/>
    <mergeCell ref="B138:B143"/>
    <mergeCell ref="A151:A153"/>
    <mergeCell ref="B151:B153"/>
    <mergeCell ref="A114:A119"/>
    <mergeCell ref="B114:B119"/>
    <mergeCell ref="A127:A129"/>
    <mergeCell ref="B127:B129"/>
    <mergeCell ref="A130:A132"/>
    <mergeCell ref="B130:B132"/>
    <mergeCell ref="A103:A105"/>
    <mergeCell ref="B103:B105"/>
    <mergeCell ref="A106:A108"/>
    <mergeCell ref="B106:B108"/>
    <mergeCell ref="A109:A112"/>
    <mergeCell ref="B109:B112"/>
    <mergeCell ref="A82:A84"/>
    <mergeCell ref="B82:B84"/>
    <mergeCell ref="A85:A88"/>
    <mergeCell ref="B85:B88"/>
    <mergeCell ref="A90:A95"/>
    <mergeCell ref="B90:B95"/>
    <mergeCell ref="A61:A64"/>
    <mergeCell ref="B61:B64"/>
    <mergeCell ref="A66:A71"/>
    <mergeCell ref="B66:B71"/>
    <mergeCell ref="A79:A81"/>
    <mergeCell ref="B79:B81"/>
    <mergeCell ref="A42:A47"/>
    <mergeCell ref="B42:B47"/>
    <mergeCell ref="A55:A57"/>
    <mergeCell ref="B55:B57"/>
    <mergeCell ref="A58:A60"/>
    <mergeCell ref="B58:B60"/>
    <mergeCell ref="A31:A33"/>
    <mergeCell ref="B31:B33"/>
    <mergeCell ref="A34:A36"/>
    <mergeCell ref="B34:B36"/>
    <mergeCell ref="A37:A40"/>
    <mergeCell ref="B37:B40"/>
    <mergeCell ref="B11:B13"/>
    <mergeCell ref="A1:E1"/>
    <mergeCell ref="B14:B17"/>
    <mergeCell ref="A19:A24"/>
    <mergeCell ref="B19:B24"/>
    <mergeCell ref="A8:A10"/>
    <mergeCell ref="A11:A13"/>
    <mergeCell ref="A14:A17"/>
    <mergeCell ref="B8:B10"/>
  </mergeCells>
  <dataValidations count="2">
    <dataValidation type="list" allowBlank="1" showInputMessage="1" showErrorMessage="1" sqref="D151:D167 D181:D197 D127:D143 D103:D119 D79:D95 D55:D71 D31:D47 D8:D24">
      <formula1>"มี,ไม่มี"</formula1>
    </dataValidation>
    <dataValidation type="list" allowBlank="1" showInputMessage="1" showErrorMessage="1" sqref="D199">
      <formula1>"0,1,2,3,4,5"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03"/>
  <sheetViews>
    <sheetView workbookViewId="0">
      <selection activeCell="A94" sqref="A94:A100"/>
    </sheetView>
  </sheetViews>
  <sheetFormatPr defaultColWidth="9.140625" defaultRowHeight="23.25"/>
  <cols>
    <col min="1" max="1" width="7.42578125" style="17" customWidth="1"/>
    <col min="2" max="2" width="18.28515625" style="17" customWidth="1"/>
    <col min="3" max="3" width="34" style="17" customWidth="1"/>
    <col min="4" max="4" width="6.85546875" style="17" customWidth="1"/>
    <col min="5" max="5" width="37.140625" style="17" customWidth="1"/>
    <col min="6" max="6" width="9.140625" style="17"/>
    <col min="7" max="7" width="18.7109375" style="17" customWidth="1"/>
    <col min="8" max="16384" width="9.140625" style="17"/>
  </cols>
  <sheetData>
    <row r="1" spans="1:18">
      <c r="A1" s="450" t="s">
        <v>77</v>
      </c>
      <c r="B1" s="711"/>
      <c r="C1" s="711"/>
      <c r="D1" s="711"/>
      <c r="E1" s="711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3" spans="1:18">
      <c r="A3" s="17" t="s">
        <v>102</v>
      </c>
    </row>
    <row r="4" spans="1:18">
      <c r="B4" s="17" t="s">
        <v>25</v>
      </c>
    </row>
    <row r="5" spans="1:18">
      <c r="B5" s="43" t="s">
        <v>103</v>
      </c>
    </row>
    <row r="6" spans="1:18">
      <c r="A6" s="17" t="s">
        <v>69</v>
      </c>
      <c r="B6" s="43" t="s">
        <v>69</v>
      </c>
    </row>
    <row r="7" spans="1:18">
      <c r="A7" s="372" t="s">
        <v>6</v>
      </c>
      <c r="B7" s="372" t="s">
        <v>5</v>
      </c>
      <c r="C7" s="372" t="s">
        <v>7</v>
      </c>
      <c r="D7" s="372" t="s">
        <v>12</v>
      </c>
      <c r="E7" s="372" t="s">
        <v>51</v>
      </c>
    </row>
    <row r="8" spans="1:18" ht="42">
      <c r="A8" s="468">
        <v>1</v>
      </c>
      <c r="B8" s="512" t="s">
        <v>154</v>
      </c>
      <c r="C8" s="195" t="s">
        <v>405</v>
      </c>
      <c r="D8" s="206" t="s">
        <v>215</v>
      </c>
      <c r="E8" s="190"/>
    </row>
    <row r="9" spans="1:18" ht="32.25" customHeight="1">
      <c r="A9" s="469"/>
      <c r="B9" s="513"/>
      <c r="C9" s="195" t="s">
        <v>406</v>
      </c>
      <c r="D9" s="206" t="s">
        <v>215</v>
      </c>
      <c r="E9" s="190"/>
    </row>
    <row r="10" spans="1:18">
      <c r="A10" s="470"/>
      <c r="B10" s="514"/>
      <c r="C10" s="195"/>
      <c r="D10" s="206" t="s">
        <v>215</v>
      </c>
      <c r="E10" s="190"/>
    </row>
    <row r="11" spans="1:18" ht="63" customHeight="1">
      <c r="A11" s="474">
        <v>2</v>
      </c>
      <c r="B11" s="471" t="s">
        <v>155</v>
      </c>
      <c r="C11" s="195" t="s">
        <v>407</v>
      </c>
      <c r="D11" s="206" t="s">
        <v>215</v>
      </c>
      <c r="E11" s="190"/>
    </row>
    <row r="12" spans="1:18" ht="49.5" customHeight="1">
      <c r="A12" s="475"/>
      <c r="B12" s="477"/>
      <c r="C12" s="195" t="s">
        <v>408</v>
      </c>
      <c r="D12" s="206" t="s">
        <v>215</v>
      </c>
      <c r="E12" s="190"/>
    </row>
    <row r="13" spans="1:18" ht="39.75" customHeight="1">
      <c r="A13" s="476"/>
      <c r="B13" s="478"/>
      <c r="C13" s="195" t="s">
        <v>409</v>
      </c>
      <c r="D13" s="206" t="s">
        <v>215</v>
      </c>
      <c r="E13" s="190"/>
    </row>
    <row r="14" spans="1:18" ht="54.75" customHeight="1">
      <c r="A14" s="468">
        <v>3</v>
      </c>
      <c r="B14" s="512" t="s">
        <v>14</v>
      </c>
      <c r="C14" s="195" t="s">
        <v>101</v>
      </c>
      <c r="D14" s="206" t="s">
        <v>215</v>
      </c>
      <c r="E14" s="190"/>
    </row>
    <row r="15" spans="1:18">
      <c r="A15" s="469"/>
      <c r="B15" s="513"/>
      <c r="C15" s="195"/>
      <c r="D15" s="206" t="s">
        <v>215</v>
      </c>
      <c r="E15" s="190"/>
    </row>
    <row r="16" spans="1:18">
      <c r="A16" s="469"/>
      <c r="B16" s="513"/>
      <c r="C16" s="195"/>
      <c r="D16" s="206" t="s">
        <v>215</v>
      </c>
      <c r="E16" s="190"/>
    </row>
    <row r="17" spans="1:5">
      <c r="A17" s="470"/>
      <c r="B17" s="514"/>
      <c r="C17" s="195"/>
      <c r="D17" s="206" t="s">
        <v>215</v>
      </c>
      <c r="E17" s="190"/>
    </row>
    <row r="18" spans="1:5" ht="63">
      <c r="A18" s="109">
        <v>4</v>
      </c>
      <c r="B18" s="373" t="s">
        <v>53</v>
      </c>
      <c r="C18" s="50" t="s">
        <v>54</v>
      </c>
      <c r="D18" s="206" t="s">
        <v>215</v>
      </c>
      <c r="E18" s="190"/>
    </row>
    <row r="19" spans="1:5" ht="23.25" customHeight="1">
      <c r="A19" s="465">
        <v>5</v>
      </c>
      <c r="B19" s="651" t="s">
        <v>55</v>
      </c>
      <c r="C19" s="195" t="s">
        <v>22</v>
      </c>
      <c r="D19" s="206" t="s">
        <v>215</v>
      </c>
      <c r="E19" s="207"/>
    </row>
    <row r="20" spans="1:5">
      <c r="A20" s="465"/>
      <c r="B20" s="651"/>
      <c r="C20" s="195" t="s">
        <v>36</v>
      </c>
      <c r="D20" s="206" t="s">
        <v>215</v>
      </c>
      <c r="E20" s="208"/>
    </row>
    <row r="21" spans="1:5">
      <c r="A21" s="465"/>
      <c r="B21" s="651"/>
      <c r="C21" s="195" t="s">
        <v>36</v>
      </c>
      <c r="D21" s="206" t="s">
        <v>215</v>
      </c>
      <c r="E21" s="208"/>
    </row>
    <row r="22" spans="1:5">
      <c r="A22" s="465"/>
      <c r="B22" s="651"/>
      <c r="C22" s="193"/>
      <c r="D22" s="206" t="s">
        <v>215</v>
      </c>
      <c r="E22" s="208"/>
    </row>
    <row r="23" spans="1:5">
      <c r="A23" s="465"/>
      <c r="B23" s="651"/>
      <c r="C23" s="193"/>
      <c r="D23" s="206" t="s">
        <v>215</v>
      </c>
      <c r="E23" s="208"/>
    </row>
    <row r="24" spans="1:5">
      <c r="A24" s="465"/>
      <c r="B24" s="651"/>
      <c r="C24" s="193"/>
      <c r="D24" s="206" t="s">
        <v>215</v>
      </c>
      <c r="E24" s="208"/>
    </row>
    <row r="25" spans="1:5">
      <c r="A25" s="465"/>
      <c r="B25" s="651"/>
      <c r="C25" s="208"/>
      <c r="D25" s="206" t="s">
        <v>215</v>
      </c>
      <c r="E25" s="208"/>
    </row>
    <row r="28" spans="1:5">
      <c r="A28" s="17" t="s">
        <v>102</v>
      </c>
    </row>
    <row r="29" spans="1:5">
      <c r="B29" s="17" t="s">
        <v>25</v>
      </c>
    </row>
    <row r="30" spans="1:5">
      <c r="B30" s="43" t="s">
        <v>104</v>
      </c>
    </row>
    <row r="31" spans="1:5">
      <c r="B31" s="43" t="s">
        <v>69</v>
      </c>
    </row>
    <row r="32" spans="1:5">
      <c r="A32" s="372" t="s">
        <v>6</v>
      </c>
      <c r="B32" s="372" t="s">
        <v>5</v>
      </c>
      <c r="C32" s="372" t="s">
        <v>7</v>
      </c>
      <c r="D32" s="372" t="s">
        <v>12</v>
      </c>
      <c r="E32" s="372" t="s">
        <v>51</v>
      </c>
    </row>
    <row r="33" spans="1:5" ht="29.25" customHeight="1">
      <c r="A33" s="468">
        <v>1</v>
      </c>
      <c r="B33" s="471" t="s">
        <v>154</v>
      </c>
      <c r="C33" s="195" t="s">
        <v>97</v>
      </c>
      <c r="D33" s="199" t="s">
        <v>215</v>
      </c>
      <c r="E33" s="47"/>
    </row>
    <row r="34" spans="1:5" ht="42">
      <c r="A34" s="469"/>
      <c r="B34" s="472"/>
      <c r="C34" s="195" t="s">
        <v>98</v>
      </c>
      <c r="D34" s="199" t="s">
        <v>215</v>
      </c>
      <c r="E34" s="47"/>
    </row>
    <row r="35" spans="1:5">
      <c r="A35" s="470"/>
      <c r="B35" s="473"/>
      <c r="C35" s="195"/>
      <c r="D35" s="199" t="s">
        <v>215</v>
      </c>
      <c r="E35" s="47"/>
    </row>
    <row r="36" spans="1:5" ht="63" customHeight="1">
      <c r="A36" s="474">
        <v>2</v>
      </c>
      <c r="B36" s="471" t="s">
        <v>155</v>
      </c>
      <c r="C36" s="195" t="s">
        <v>99</v>
      </c>
      <c r="D36" s="199" t="s">
        <v>215</v>
      </c>
      <c r="E36" s="47"/>
    </row>
    <row r="37" spans="1:5" ht="42">
      <c r="A37" s="475"/>
      <c r="B37" s="477"/>
      <c r="C37" s="195" t="s">
        <v>100</v>
      </c>
      <c r="D37" s="199" t="s">
        <v>215</v>
      </c>
      <c r="E37" s="47"/>
    </row>
    <row r="38" spans="1:5">
      <c r="A38" s="476"/>
      <c r="B38" s="478"/>
      <c r="C38" s="195"/>
      <c r="D38" s="199" t="s">
        <v>215</v>
      </c>
      <c r="E38" s="47"/>
    </row>
    <row r="39" spans="1:5" ht="43.5" customHeight="1">
      <c r="A39" s="468">
        <v>3</v>
      </c>
      <c r="B39" s="471" t="s">
        <v>14</v>
      </c>
      <c r="C39" s="195" t="s">
        <v>101</v>
      </c>
      <c r="D39" s="199" t="s">
        <v>215</v>
      </c>
      <c r="E39" s="47"/>
    </row>
    <row r="40" spans="1:5">
      <c r="A40" s="469"/>
      <c r="B40" s="472"/>
      <c r="C40" s="195"/>
      <c r="D40" s="199" t="s">
        <v>215</v>
      </c>
      <c r="E40" s="47"/>
    </row>
    <row r="41" spans="1:5">
      <c r="A41" s="469"/>
      <c r="B41" s="472"/>
      <c r="C41" s="195"/>
      <c r="D41" s="199" t="s">
        <v>215</v>
      </c>
      <c r="E41" s="47"/>
    </row>
    <row r="42" spans="1:5">
      <c r="A42" s="470"/>
      <c r="B42" s="473"/>
      <c r="C42" s="195"/>
      <c r="D42" s="199" t="s">
        <v>215</v>
      </c>
      <c r="E42" s="47"/>
    </row>
    <row r="43" spans="1:5" ht="63">
      <c r="A43" s="109">
        <v>4</v>
      </c>
      <c r="B43" s="373" t="s">
        <v>53</v>
      </c>
      <c r="C43" s="50" t="s">
        <v>54</v>
      </c>
      <c r="D43" s="199" t="s">
        <v>215</v>
      </c>
      <c r="E43" s="47"/>
    </row>
    <row r="44" spans="1:5" ht="23.25" customHeight="1">
      <c r="A44" s="465">
        <v>5</v>
      </c>
      <c r="B44" s="466" t="s">
        <v>55</v>
      </c>
      <c r="C44" s="195" t="s">
        <v>22</v>
      </c>
      <c r="D44" s="199" t="s">
        <v>215</v>
      </c>
      <c r="E44" s="209"/>
    </row>
    <row r="45" spans="1:5">
      <c r="A45" s="465"/>
      <c r="B45" s="466"/>
      <c r="C45" s="195" t="s">
        <v>36</v>
      </c>
      <c r="D45" s="199" t="s">
        <v>215</v>
      </c>
      <c r="E45" s="210"/>
    </row>
    <row r="46" spans="1:5">
      <c r="A46" s="465"/>
      <c r="B46" s="466"/>
      <c r="C46" s="195" t="s">
        <v>36</v>
      </c>
      <c r="D46" s="199" t="s">
        <v>215</v>
      </c>
      <c r="E46" s="210"/>
    </row>
    <row r="47" spans="1:5">
      <c r="A47" s="465"/>
      <c r="B47" s="466"/>
      <c r="C47" s="193"/>
      <c r="D47" s="199" t="s">
        <v>215</v>
      </c>
      <c r="E47" s="210"/>
    </row>
    <row r="48" spans="1:5">
      <c r="A48" s="465"/>
      <c r="B48" s="466"/>
      <c r="C48" s="194"/>
      <c r="D48" s="199" t="s">
        <v>215</v>
      </c>
      <c r="E48" s="210"/>
    </row>
    <row r="49" spans="1:5">
      <c r="A49" s="465"/>
      <c r="B49" s="466"/>
      <c r="C49" s="194"/>
      <c r="D49" s="199" t="s">
        <v>215</v>
      </c>
      <c r="E49" s="210"/>
    </row>
    <row r="50" spans="1:5">
      <c r="A50" s="465"/>
      <c r="B50" s="466"/>
      <c r="C50" s="210"/>
      <c r="D50" s="199" t="s">
        <v>215</v>
      </c>
      <c r="E50" s="210"/>
    </row>
    <row r="53" spans="1:5">
      <c r="A53" s="17" t="s">
        <v>102</v>
      </c>
    </row>
    <row r="54" spans="1:5">
      <c r="B54" s="17" t="s">
        <v>25</v>
      </c>
    </row>
    <row r="55" spans="1:5">
      <c r="B55" s="43" t="s">
        <v>105</v>
      </c>
    </row>
    <row r="56" spans="1:5">
      <c r="B56" s="43" t="s">
        <v>69</v>
      </c>
    </row>
    <row r="57" spans="1:5">
      <c r="A57" s="372" t="s">
        <v>6</v>
      </c>
      <c r="B57" s="372" t="s">
        <v>5</v>
      </c>
      <c r="C57" s="372" t="s">
        <v>7</v>
      </c>
      <c r="D57" s="372" t="s">
        <v>12</v>
      </c>
      <c r="E57" s="372" t="s">
        <v>51</v>
      </c>
    </row>
    <row r="58" spans="1:5">
      <c r="A58" s="468">
        <v>1</v>
      </c>
      <c r="B58" s="512" t="s">
        <v>154</v>
      </c>
      <c r="C58" s="195" t="s">
        <v>97</v>
      </c>
      <c r="D58" s="199" t="s">
        <v>215</v>
      </c>
      <c r="E58" s="47"/>
    </row>
    <row r="59" spans="1:5" ht="42">
      <c r="A59" s="469"/>
      <c r="B59" s="513"/>
      <c r="C59" s="195" t="s">
        <v>98</v>
      </c>
      <c r="D59" s="199" t="s">
        <v>215</v>
      </c>
      <c r="E59" s="47"/>
    </row>
    <row r="60" spans="1:5">
      <c r="A60" s="470"/>
      <c r="B60" s="514"/>
      <c r="C60" s="195"/>
      <c r="D60" s="199" t="s">
        <v>215</v>
      </c>
      <c r="E60" s="47"/>
    </row>
    <row r="61" spans="1:5" ht="63" customHeight="1">
      <c r="A61" s="474">
        <v>2</v>
      </c>
      <c r="B61" s="471" t="s">
        <v>155</v>
      </c>
      <c r="C61" s="195" t="s">
        <v>99</v>
      </c>
      <c r="D61" s="199" t="s">
        <v>215</v>
      </c>
      <c r="E61" s="47"/>
    </row>
    <row r="62" spans="1:5" ht="42">
      <c r="A62" s="475"/>
      <c r="B62" s="477"/>
      <c r="C62" s="195" t="s">
        <v>100</v>
      </c>
      <c r="D62" s="199" t="s">
        <v>215</v>
      </c>
      <c r="E62" s="47"/>
    </row>
    <row r="63" spans="1:5">
      <c r="A63" s="476"/>
      <c r="B63" s="478"/>
      <c r="C63" s="195"/>
      <c r="D63" s="199" t="s">
        <v>215</v>
      </c>
      <c r="E63" s="47"/>
    </row>
    <row r="64" spans="1:5" ht="30.75" customHeight="1">
      <c r="A64" s="468">
        <v>3</v>
      </c>
      <c r="B64" s="512" t="s">
        <v>14</v>
      </c>
      <c r="C64" s="195" t="s">
        <v>101</v>
      </c>
      <c r="D64" s="199" t="s">
        <v>215</v>
      </c>
      <c r="E64" s="47"/>
    </row>
    <row r="65" spans="1:5">
      <c r="A65" s="469"/>
      <c r="B65" s="513"/>
      <c r="C65" s="195"/>
      <c r="D65" s="199" t="s">
        <v>215</v>
      </c>
      <c r="E65" s="47"/>
    </row>
    <row r="66" spans="1:5">
      <c r="A66" s="469"/>
      <c r="B66" s="513"/>
      <c r="C66" s="195"/>
      <c r="D66" s="199" t="s">
        <v>215</v>
      </c>
      <c r="E66" s="47"/>
    </row>
    <row r="67" spans="1:5">
      <c r="A67" s="470"/>
      <c r="B67" s="514"/>
      <c r="C67" s="195"/>
      <c r="D67" s="199" t="s">
        <v>215</v>
      </c>
      <c r="E67" s="47"/>
    </row>
    <row r="68" spans="1:5" ht="63">
      <c r="A68" s="109">
        <v>4</v>
      </c>
      <c r="B68" s="205" t="s">
        <v>53</v>
      </c>
      <c r="C68" s="50" t="s">
        <v>54</v>
      </c>
      <c r="D68" s="199" t="s">
        <v>215</v>
      </c>
      <c r="E68" s="47"/>
    </row>
    <row r="69" spans="1:5" ht="23.25" customHeight="1">
      <c r="A69" s="465">
        <v>5</v>
      </c>
      <c r="B69" s="651" t="s">
        <v>55</v>
      </c>
      <c r="C69" s="195" t="s">
        <v>22</v>
      </c>
      <c r="D69" s="199" t="s">
        <v>215</v>
      </c>
      <c r="E69" s="209"/>
    </row>
    <row r="70" spans="1:5">
      <c r="A70" s="465"/>
      <c r="B70" s="651"/>
      <c r="C70" s="195" t="s">
        <v>36</v>
      </c>
      <c r="D70" s="199" t="s">
        <v>215</v>
      </c>
      <c r="E70" s="210"/>
    </row>
    <row r="71" spans="1:5">
      <c r="A71" s="465"/>
      <c r="B71" s="651"/>
      <c r="C71" s="195" t="s">
        <v>36</v>
      </c>
      <c r="D71" s="199" t="s">
        <v>215</v>
      </c>
      <c r="E71" s="210"/>
    </row>
    <row r="72" spans="1:5">
      <c r="A72" s="465"/>
      <c r="B72" s="651"/>
      <c r="C72" s="193"/>
      <c r="D72" s="199" t="s">
        <v>215</v>
      </c>
      <c r="E72" s="210"/>
    </row>
    <row r="73" spans="1:5">
      <c r="A73" s="465"/>
      <c r="B73" s="651"/>
      <c r="C73" s="194"/>
      <c r="D73" s="199" t="s">
        <v>215</v>
      </c>
      <c r="E73" s="210"/>
    </row>
    <row r="74" spans="1:5">
      <c r="A74" s="465"/>
      <c r="B74" s="651"/>
      <c r="C74" s="194"/>
      <c r="D74" s="199" t="s">
        <v>215</v>
      </c>
      <c r="E74" s="210"/>
    </row>
    <row r="75" spans="1:5">
      <c r="A75" s="465"/>
      <c r="B75" s="651"/>
      <c r="C75" s="210"/>
      <c r="D75" s="199" t="s">
        <v>215</v>
      </c>
      <c r="E75" s="210"/>
    </row>
    <row r="78" spans="1:5">
      <c r="A78" s="17" t="s">
        <v>102</v>
      </c>
    </row>
    <row r="79" spans="1:5">
      <c r="B79" s="17" t="s">
        <v>25</v>
      </c>
    </row>
    <row r="80" spans="1:5">
      <c r="B80" s="43" t="s">
        <v>106</v>
      </c>
    </row>
    <row r="82" spans="1:5">
      <c r="A82" s="372" t="s">
        <v>6</v>
      </c>
      <c r="B82" s="372" t="s">
        <v>5</v>
      </c>
      <c r="C82" s="372" t="s">
        <v>7</v>
      </c>
      <c r="D82" s="372" t="s">
        <v>12</v>
      </c>
      <c r="E82" s="372" t="s">
        <v>51</v>
      </c>
    </row>
    <row r="83" spans="1:5">
      <c r="A83" s="468">
        <v>1</v>
      </c>
      <c r="B83" s="512" t="s">
        <v>154</v>
      </c>
      <c r="C83" s="195" t="s">
        <v>97</v>
      </c>
      <c r="D83" s="123" t="s">
        <v>215</v>
      </c>
      <c r="E83" s="47"/>
    </row>
    <row r="84" spans="1:5" ht="42">
      <c r="A84" s="469"/>
      <c r="B84" s="513"/>
      <c r="C84" s="195" t="s">
        <v>98</v>
      </c>
      <c r="D84" s="123" t="s">
        <v>215</v>
      </c>
      <c r="E84" s="47"/>
    </row>
    <row r="85" spans="1:5">
      <c r="A85" s="470"/>
      <c r="B85" s="514"/>
      <c r="C85" s="195"/>
      <c r="D85" s="123" t="s">
        <v>215</v>
      </c>
      <c r="E85" s="47"/>
    </row>
    <row r="86" spans="1:5" ht="63" customHeight="1">
      <c r="A86" s="474">
        <v>2</v>
      </c>
      <c r="B86" s="471" t="s">
        <v>155</v>
      </c>
      <c r="C86" s="195" t="s">
        <v>99</v>
      </c>
      <c r="D86" s="123" t="s">
        <v>215</v>
      </c>
      <c r="E86" s="47"/>
    </row>
    <row r="87" spans="1:5" ht="49.5" customHeight="1">
      <c r="A87" s="475"/>
      <c r="B87" s="477"/>
      <c r="C87" s="195" t="s">
        <v>100</v>
      </c>
      <c r="D87" s="123" t="s">
        <v>215</v>
      </c>
      <c r="E87" s="47"/>
    </row>
    <row r="88" spans="1:5" ht="31.5" customHeight="1">
      <c r="A88" s="476"/>
      <c r="B88" s="478"/>
      <c r="C88" s="195"/>
      <c r="D88" s="123" t="s">
        <v>215</v>
      </c>
      <c r="E88" s="47"/>
    </row>
    <row r="89" spans="1:5" ht="42" customHeight="1">
      <c r="A89" s="468">
        <v>3</v>
      </c>
      <c r="B89" s="512" t="s">
        <v>14</v>
      </c>
      <c r="C89" s="195" t="s">
        <v>101</v>
      </c>
      <c r="D89" s="123" t="s">
        <v>215</v>
      </c>
      <c r="E89" s="47"/>
    </row>
    <row r="90" spans="1:5">
      <c r="A90" s="469"/>
      <c r="B90" s="513"/>
      <c r="C90" s="195"/>
      <c r="D90" s="123" t="s">
        <v>215</v>
      </c>
      <c r="E90" s="47"/>
    </row>
    <row r="91" spans="1:5">
      <c r="A91" s="469"/>
      <c r="B91" s="513"/>
      <c r="C91" s="195"/>
      <c r="D91" s="123" t="s">
        <v>215</v>
      </c>
      <c r="E91" s="47"/>
    </row>
    <row r="92" spans="1:5">
      <c r="A92" s="470"/>
      <c r="B92" s="514"/>
      <c r="C92" s="195"/>
      <c r="D92" s="123" t="s">
        <v>215</v>
      </c>
      <c r="E92" s="47"/>
    </row>
    <row r="93" spans="1:5" ht="63">
      <c r="A93" s="109">
        <v>4</v>
      </c>
      <c r="B93" s="373" t="s">
        <v>53</v>
      </c>
      <c r="C93" s="50" t="s">
        <v>54</v>
      </c>
      <c r="D93" s="123" t="s">
        <v>215</v>
      </c>
      <c r="E93" s="47"/>
    </row>
    <row r="94" spans="1:5" ht="23.25" customHeight="1">
      <c r="A94" s="465">
        <v>5</v>
      </c>
      <c r="B94" s="651" t="s">
        <v>55</v>
      </c>
      <c r="C94" s="195" t="s">
        <v>22</v>
      </c>
      <c r="D94" s="123" t="s">
        <v>215</v>
      </c>
      <c r="E94" s="209"/>
    </row>
    <row r="95" spans="1:5">
      <c r="A95" s="465"/>
      <c r="B95" s="651"/>
      <c r="C95" s="195" t="s">
        <v>36</v>
      </c>
      <c r="D95" s="123" t="s">
        <v>215</v>
      </c>
      <c r="E95" s="210"/>
    </row>
    <row r="96" spans="1:5">
      <c r="A96" s="465"/>
      <c r="B96" s="651"/>
      <c r="C96" s="195" t="s">
        <v>36</v>
      </c>
      <c r="D96" s="123" t="s">
        <v>215</v>
      </c>
      <c r="E96" s="210"/>
    </row>
    <row r="97" spans="1:5">
      <c r="A97" s="465"/>
      <c r="B97" s="651"/>
      <c r="C97" s="193"/>
      <c r="D97" s="123" t="s">
        <v>215</v>
      </c>
      <c r="E97" s="210"/>
    </row>
    <row r="98" spans="1:5">
      <c r="A98" s="465"/>
      <c r="B98" s="651"/>
      <c r="C98" s="194"/>
      <c r="D98" s="123" t="s">
        <v>215</v>
      </c>
      <c r="E98" s="210"/>
    </row>
    <row r="99" spans="1:5">
      <c r="A99" s="465"/>
      <c r="B99" s="651"/>
      <c r="C99" s="194"/>
      <c r="D99" s="123" t="s">
        <v>215</v>
      </c>
      <c r="E99" s="210"/>
    </row>
    <row r="100" spans="1:5">
      <c r="A100" s="465"/>
      <c r="B100" s="651"/>
      <c r="C100" s="210"/>
      <c r="D100" s="123" t="s">
        <v>215</v>
      </c>
      <c r="E100" s="210"/>
    </row>
    <row r="103" spans="1:5">
      <c r="B103" s="2" t="s">
        <v>306</v>
      </c>
      <c r="C103" s="2"/>
      <c r="D103" s="153">
        <v>5</v>
      </c>
      <c r="E103" s="2" t="s">
        <v>6</v>
      </c>
    </row>
  </sheetData>
  <sheetProtection algorithmName="SHA-512" hashValue="hjYCETd9/SNUloh9HprIbPSvGkss5WciaHgbN3E9RnpRuC3tLr5ZkqEmX0WF4XNe3aufZEXfwkyibeM2lzv04A==" saltValue="jZVS9CXknHRYEwQB5M0KZA==" spinCount="100000" sheet="1" objects="1" scenarios="1" formatRows="0"/>
  <protectedRanges>
    <protectedRange sqref="C8:E25 C33:E50 C58:E75 C83:E100 D103" name="Range1"/>
  </protectedRanges>
  <mergeCells count="33">
    <mergeCell ref="A86:A88"/>
    <mergeCell ref="B86:B88"/>
    <mergeCell ref="A89:A92"/>
    <mergeCell ref="B89:B92"/>
    <mergeCell ref="A94:A100"/>
    <mergeCell ref="B94:B100"/>
    <mergeCell ref="A64:A67"/>
    <mergeCell ref="B64:B67"/>
    <mergeCell ref="A69:A75"/>
    <mergeCell ref="B69:B75"/>
    <mergeCell ref="A83:A85"/>
    <mergeCell ref="B83:B85"/>
    <mergeCell ref="A44:A50"/>
    <mergeCell ref="B44:B50"/>
    <mergeCell ref="A58:A60"/>
    <mergeCell ref="B58:B60"/>
    <mergeCell ref="A61:A63"/>
    <mergeCell ref="B61:B63"/>
    <mergeCell ref="A33:A35"/>
    <mergeCell ref="B33:B35"/>
    <mergeCell ref="A36:A38"/>
    <mergeCell ref="B36:B38"/>
    <mergeCell ref="A39:A42"/>
    <mergeCell ref="B39:B42"/>
    <mergeCell ref="B11:B13"/>
    <mergeCell ref="B8:B10"/>
    <mergeCell ref="A1:E1"/>
    <mergeCell ref="A19:A25"/>
    <mergeCell ref="B19:B25"/>
    <mergeCell ref="A8:A10"/>
    <mergeCell ref="A11:A13"/>
    <mergeCell ref="A14:A17"/>
    <mergeCell ref="B14:B17"/>
  </mergeCells>
  <dataValidations count="2">
    <dataValidation type="list" allowBlank="1" showInputMessage="1" showErrorMessage="1" sqref="D83:D100 D8:D25 D33:D50 D58:D75">
      <formula1>"มี,ไม่มี"</formula1>
    </dataValidation>
    <dataValidation type="list" allowBlank="1" showInputMessage="1" showErrorMessage="1" sqref="D103">
      <formula1>"0,1,2,3,4,5"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W27"/>
  <sheetViews>
    <sheetView topLeftCell="A16" zoomScale="90" zoomScaleNormal="90" workbookViewId="0">
      <selection activeCell="A6" sqref="A6"/>
    </sheetView>
  </sheetViews>
  <sheetFormatPr defaultColWidth="9.140625" defaultRowHeight="23.25"/>
  <cols>
    <col min="1" max="1" width="6.7109375" style="17" customWidth="1"/>
    <col min="2" max="2" width="29.140625" style="17" customWidth="1"/>
    <col min="3" max="3" width="11" style="17" customWidth="1"/>
    <col min="4" max="4" width="11.5703125" style="17" customWidth="1"/>
    <col min="5" max="6" width="12" style="17" customWidth="1"/>
    <col min="7" max="7" width="12.7109375" style="17" customWidth="1"/>
    <col min="8" max="8" width="8.140625" style="17" customWidth="1"/>
    <col min="9" max="9" width="11.5703125" style="17" customWidth="1"/>
    <col min="10" max="10" width="9.140625" style="17"/>
    <col min="11" max="11" width="8.28515625" style="17" customWidth="1"/>
    <col min="12" max="16384" width="9.140625" style="17"/>
  </cols>
  <sheetData>
    <row r="1" spans="1:23">
      <c r="A1" s="450" t="s">
        <v>77</v>
      </c>
      <c r="B1" s="450"/>
      <c r="C1" s="450"/>
      <c r="D1" s="450"/>
      <c r="E1" s="450"/>
      <c r="F1" s="450"/>
      <c r="G1" s="450"/>
      <c r="H1" s="450"/>
      <c r="I1" s="450"/>
      <c r="J1" s="686"/>
      <c r="K1" s="686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</row>
    <row r="3" spans="1:23">
      <c r="A3" s="17" t="s">
        <v>107</v>
      </c>
    </row>
    <row r="5" spans="1:23">
      <c r="A5" s="107" t="s">
        <v>108</v>
      </c>
      <c r="B5" s="107" t="s">
        <v>109</v>
      </c>
      <c r="C5" s="394" t="s">
        <v>110</v>
      </c>
      <c r="D5" s="394"/>
      <c r="E5" s="394"/>
      <c r="F5" s="394"/>
      <c r="G5" s="721"/>
      <c r="H5" s="132" t="s">
        <v>12</v>
      </c>
      <c r="I5" s="394" t="s">
        <v>111</v>
      </c>
      <c r="J5" s="510"/>
      <c r="K5" s="510"/>
    </row>
    <row r="6" spans="1:23" ht="162.75" customHeight="1">
      <c r="A6" s="212" t="s">
        <v>112</v>
      </c>
      <c r="B6" s="205" t="s">
        <v>113</v>
      </c>
      <c r="C6" s="616" t="s">
        <v>114</v>
      </c>
      <c r="D6" s="719"/>
      <c r="E6" s="719"/>
      <c r="F6" s="719"/>
      <c r="G6" s="719"/>
      <c r="H6" s="199" t="s">
        <v>215</v>
      </c>
      <c r="I6" s="616" t="s">
        <v>69</v>
      </c>
      <c r="J6" s="720"/>
      <c r="K6" s="720"/>
    </row>
    <row r="7" spans="1:23" ht="118.5" customHeight="1">
      <c r="A7" s="212" t="s">
        <v>115</v>
      </c>
      <c r="B7" s="205" t="s">
        <v>116</v>
      </c>
      <c r="C7" s="616" t="s">
        <v>117</v>
      </c>
      <c r="D7" s="719"/>
      <c r="E7" s="719"/>
      <c r="F7" s="719"/>
      <c r="G7" s="719"/>
      <c r="H7" s="199" t="s">
        <v>215</v>
      </c>
      <c r="I7" s="616" t="s">
        <v>118</v>
      </c>
      <c r="J7" s="720"/>
      <c r="K7" s="720"/>
    </row>
    <row r="8" spans="1:23" ht="121.5" customHeight="1">
      <c r="A8" s="212" t="s">
        <v>119</v>
      </c>
      <c r="B8" s="205" t="s">
        <v>120</v>
      </c>
      <c r="C8" s="616" t="s">
        <v>121</v>
      </c>
      <c r="D8" s="719"/>
      <c r="E8" s="719"/>
      <c r="F8" s="719"/>
      <c r="G8" s="719"/>
      <c r="H8" s="199" t="s">
        <v>215</v>
      </c>
      <c r="I8" s="616" t="s">
        <v>122</v>
      </c>
      <c r="J8" s="720"/>
      <c r="K8" s="720"/>
    </row>
    <row r="9" spans="1:23" ht="141" customHeight="1">
      <c r="A9" s="212" t="s">
        <v>123</v>
      </c>
      <c r="B9" s="205" t="s">
        <v>124</v>
      </c>
      <c r="C9" s="616" t="s">
        <v>125</v>
      </c>
      <c r="D9" s="719"/>
      <c r="E9" s="719"/>
      <c r="F9" s="719"/>
      <c r="G9" s="719"/>
      <c r="H9" s="199" t="s">
        <v>215</v>
      </c>
      <c r="I9" s="616" t="s">
        <v>69</v>
      </c>
      <c r="J9" s="720"/>
      <c r="K9" s="720"/>
    </row>
    <row r="10" spans="1:23" ht="77.25" customHeight="1">
      <c r="A10" s="212" t="s">
        <v>126</v>
      </c>
      <c r="B10" s="205" t="s">
        <v>127</v>
      </c>
      <c r="C10" s="616" t="s">
        <v>128</v>
      </c>
      <c r="D10" s="719"/>
      <c r="E10" s="719"/>
      <c r="F10" s="719"/>
      <c r="G10" s="719"/>
      <c r="H10" s="199" t="s">
        <v>215</v>
      </c>
      <c r="I10" s="616" t="s">
        <v>129</v>
      </c>
      <c r="J10" s="720"/>
      <c r="K10" s="720"/>
    </row>
    <row r="11" spans="1:23" ht="157.5" customHeight="1">
      <c r="A11" s="213">
        <v>6</v>
      </c>
      <c r="B11" s="205" t="s">
        <v>130</v>
      </c>
      <c r="C11" s="616" t="s">
        <v>131</v>
      </c>
      <c r="D11" s="719"/>
      <c r="E11" s="719"/>
      <c r="F11" s="719"/>
      <c r="G11" s="719"/>
      <c r="H11" s="199" t="s">
        <v>215</v>
      </c>
      <c r="I11" s="616" t="s">
        <v>132</v>
      </c>
      <c r="J11" s="720"/>
      <c r="K11" s="720"/>
    </row>
    <row r="12" spans="1:23" ht="117.75" customHeight="1">
      <c r="A12" s="213">
        <v>7</v>
      </c>
      <c r="B12" s="205" t="s">
        <v>133</v>
      </c>
      <c r="C12" s="616" t="s">
        <v>134</v>
      </c>
      <c r="D12" s="719"/>
      <c r="E12" s="719"/>
      <c r="F12" s="719"/>
      <c r="G12" s="719"/>
      <c r="H12" s="199" t="s">
        <v>215</v>
      </c>
      <c r="I12" s="616" t="s">
        <v>135</v>
      </c>
      <c r="J12" s="720"/>
      <c r="K12" s="720"/>
    </row>
    <row r="13" spans="1:23" ht="95.25" customHeight="1">
      <c r="A13" s="213">
        <v>8</v>
      </c>
      <c r="B13" s="205" t="s">
        <v>136</v>
      </c>
      <c r="C13" s="616" t="s">
        <v>137</v>
      </c>
      <c r="D13" s="719"/>
      <c r="E13" s="719"/>
      <c r="F13" s="719"/>
      <c r="G13" s="719"/>
      <c r="H13" s="199" t="s">
        <v>215</v>
      </c>
      <c r="I13" s="616" t="s">
        <v>138</v>
      </c>
      <c r="J13" s="720"/>
      <c r="K13" s="720"/>
    </row>
    <row r="14" spans="1:23" ht="77.25" customHeight="1">
      <c r="A14" s="213">
        <v>9</v>
      </c>
      <c r="B14" s="205" t="s">
        <v>139</v>
      </c>
      <c r="C14" s="616" t="s">
        <v>140</v>
      </c>
      <c r="D14" s="719"/>
      <c r="E14" s="719"/>
      <c r="F14" s="719"/>
      <c r="G14" s="719"/>
      <c r="H14" s="199" t="s">
        <v>215</v>
      </c>
      <c r="I14" s="616" t="s">
        <v>141</v>
      </c>
      <c r="J14" s="720"/>
      <c r="K14" s="720"/>
    </row>
    <row r="15" spans="1:23" ht="98.25" customHeight="1">
      <c r="A15" s="213">
        <v>10</v>
      </c>
      <c r="B15" s="205" t="s">
        <v>142</v>
      </c>
      <c r="C15" s="616" t="s">
        <v>143</v>
      </c>
      <c r="D15" s="719"/>
      <c r="E15" s="719"/>
      <c r="F15" s="719"/>
      <c r="G15" s="719"/>
      <c r="H15" s="199" t="s">
        <v>417</v>
      </c>
      <c r="I15" s="616" t="s">
        <v>144</v>
      </c>
      <c r="J15" s="720"/>
      <c r="K15" s="720"/>
    </row>
    <row r="16" spans="1:23" ht="97.5" customHeight="1">
      <c r="A16" s="213">
        <v>11</v>
      </c>
      <c r="B16" s="205" t="s">
        <v>145</v>
      </c>
      <c r="C16" s="616" t="s">
        <v>146</v>
      </c>
      <c r="D16" s="719"/>
      <c r="E16" s="719"/>
      <c r="F16" s="719"/>
      <c r="G16" s="719"/>
      <c r="H16" s="199" t="s">
        <v>215</v>
      </c>
      <c r="I16" s="616"/>
      <c r="J16" s="720"/>
      <c r="K16" s="720"/>
    </row>
    <row r="17" spans="1:12" ht="72.75" customHeight="1">
      <c r="A17" s="213">
        <v>12</v>
      </c>
      <c r="B17" s="205" t="s">
        <v>147</v>
      </c>
      <c r="C17" s="616" t="s">
        <v>148</v>
      </c>
      <c r="D17" s="719"/>
      <c r="E17" s="719"/>
      <c r="F17" s="719"/>
      <c r="G17" s="719"/>
      <c r="H17" s="199" t="s">
        <v>215</v>
      </c>
      <c r="I17" s="616"/>
      <c r="J17" s="720"/>
      <c r="K17" s="720"/>
    </row>
    <row r="18" spans="1:12">
      <c r="A18" s="214" t="s">
        <v>69</v>
      </c>
    </row>
    <row r="19" spans="1:12">
      <c r="B19" s="215" t="s">
        <v>412</v>
      </c>
      <c r="C19" s="216">
        <f>COUNTIF(H6:H10,"มี")</f>
        <v>5</v>
      </c>
      <c r="D19" s="215" t="s">
        <v>394</v>
      </c>
      <c r="E19" s="217" t="s">
        <v>413</v>
      </c>
      <c r="F19" s="217"/>
      <c r="G19" s="112">
        <f>COUNTIF(H11:H17,"มี")</f>
        <v>6</v>
      </c>
      <c r="H19" s="2" t="s">
        <v>394</v>
      </c>
      <c r="I19" s="2" t="s">
        <v>417</v>
      </c>
      <c r="J19" s="2"/>
      <c r="K19" s="67">
        <f>COUNTIF(H6:H17,"ไม่รับการประเมิน")</f>
        <v>1</v>
      </c>
      <c r="L19" s="2" t="s">
        <v>394</v>
      </c>
    </row>
    <row r="20" spans="1:12">
      <c r="B20" s="218" t="s">
        <v>415</v>
      </c>
      <c r="C20" s="67">
        <f>C19+G19</f>
        <v>11</v>
      </c>
      <c r="D20" s="215" t="s">
        <v>394</v>
      </c>
      <c r="E20" s="2" t="s">
        <v>414</v>
      </c>
      <c r="F20" s="2"/>
      <c r="G20" s="67">
        <f>12-K19</f>
        <v>11</v>
      </c>
      <c r="H20" s="2" t="s">
        <v>394</v>
      </c>
      <c r="I20" s="2" t="s">
        <v>416</v>
      </c>
      <c r="J20" s="2"/>
      <c r="K20" s="219">
        <f>C20/G20*100</f>
        <v>100</v>
      </c>
      <c r="L20" s="2"/>
    </row>
    <row r="21" spans="1:1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B22" s="2" t="s">
        <v>305</v>
      </c>
      <c r="C22" s="2"/>
      <c r="D22" s="2"/>
      <c r="E22" s="2"/>
      <c r="F22" s="2"/>
      <c r="G22" s="2"/>
      <c r="H22" s="2"/>
      <c r="I22" s="2"/>
      <c r="J22" s="2"/>
      <c r="K22" s="219">
        <f>IF(K20&lt;80,0,IF(K20=80,3.5,IF(K20&lt;89.99,4,IF(K20&lt;94.99,4.5,IF(K20&lt;99.99,4.75,5)))))</f>
        <v>5</v>
      </c>
      <c r="L22" s="2" t="s">
        <v>6</v>
      </c>
    </row>
    <row r="24" spans="1:12" ht="28.5" customHeight="1">
      <c r="A24" s="54" t="s">
        <v>209</v>
      </c>
      <c r="B24" s="54"/>
      <c r="C24" s="54"/>
      <c r="D24" s="54"/>
      <c r="E24" s="53"/>
      <c r="F24" s="53"/>
    </row>
    <row r="25" spans="1:12">
      <c r="A25" s="54" t="s">
        <v>210</v>
      </c>
      <c r="B25" s="54"/>
      <c r="C25" s="54"/>
      <c r="D25" s="54"/>
      <c r="E25" s="53"/>
      <c r="F25" s="53"/>
    </row>
    <row r="26" spans="1:12">
      <c r="A26" s="54" t="s">
        <v>211</v>
      </c>
      <c r="B26" s="54"/>
      <c r="C26" s="54"/>
      <c r="D26" s="54"/>
      <c r="E26" s="53"/>
      <c r="F26" s="53"/>
    </row>
    <row r="27" spans="1:12">
      <c r="A27" s="7" t="s">
        <v>418</v>
      </c>
      <c r="B27" s="7"/>
      <c r="C27" s="7"/>
      <c r="D27" s="7"/>
      <c r="E27" s="211"/>
      <c r="F27" s="211"/>
      <c r="H27" s="220"/>
    </row>
  </sheetData>
  <sheetProtection algorithmName="SHA-512" hashValue="mb7R4uHrmLRnJb7w6Br2j85l1UZPkY95RuYpi5PjgnLjGdnt4rkj8MzK7dgbgCO4Lb+QiFUOW7tc8YHV6muNsw==" saltValue="jLB5XqQizaWD9EwG2WnfPA==" spinCount="100000" sheet="1" objects="1" scenarios="1" formatRows="0"/>
  <protectedRanges>
    <protectedRange sqref="C6:K17" name="Range1"/>
  </protectedRanges>
  <mergeCells count="27">
    <mergeCell ref="I15:K15"/>
    <mergeCell ref="I16:K16"/>
    <mergeCell ref="I17:K17"/>
    <mergeCell ref="A1:K1"/>
    <mergeCell ref="I10:K10"/>
    <mergeCell ref="I11:K11"/>
    <mergeCell ref="I12:K12"/>
    <mergeCell ref="I13:K13"/>
    <mergeCell ref="I14:K14"/>
    <mergeCell ref="I5:K5"/>
    <mergeCell ref="I6:K6"/>
    <mergeCell ref="I7:K7"/>
    <mergeCell ref="I8:K8"/>
    <mergeCell ref="I9:K9"/>
    <mergeCell ref="C6:G6"/>
    <mergeCell ref="C5:G5"/>
    <mergeCell ref="C7:G7"/>
    <mergeCell ref="C8:G8"/>
    <mergeCell ref="C9:G9"/>
    <mergeCell ref="C10:G10"/>
    <mergeCell ref="C11:G11"/>
    <mergeCell ref="C17:G17"/>
    <mergeCell ref="C12:G12"/>
    <mergeCell ref="C13:G13"/>
    <mergeCell ref="C14:G14"/>
    <mergeCell ref="C15:G15"/>
    <mergeCell ref="C16:G16"/>
  </mergeCells>
  <dataValidations count="1">
    <dataValidation type="list" allowBlank="1" showInputMessage="1" showErrorMessage="1" sqref="H6:H17">
      <formula1>"มี,ไม่มี,ไม่รับการประเมิน"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82"/>
  <sheetViews>
    <sheetView topLeftCell="A7" workbookViewId="0">
      <selection activeCell="A68" sqref="A68:A74"/>
    </sheetView>
  </sheetViews>
  <sheetFormatPr defaultColWidth="9.140625" defaultRowHeight="23.25"/>
  <cols>
    <col min="1" max="1" width="7.42578125" style="17" customWidth="1"/>
    <col min="2" max="2" width="18.28515625" style="17" customWidth="1"/>
    <col min="3" max="3" width="34" style="17" customWidth="1"/>
    <col min="4" max="4" width="6.85546875" style="17" customWidth="1"/>
    <col min="5" max="5" width="37.140625" style="17" customWidth="1"/>
    <col min="6" max="6" width="9.140625" style="17"/>
    <col min="7" max="7" width="18.7109375" style="17" customWidth="1"/>
    <col min="8" max="16384" width="9.140625" style="17"/>
  </cols>
  <sheetData>
    <row r="1" spans="1:18">
      <c r="A1" s="450" t="s">
        <v>149</v>
      </c>
      <c r="B1" s="711"/>
      <c r="C1" s="711"/>
      <c r="D1" s="711"/>
      <c r="E1" s="711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3" spans="1:18">
      <c r="A3" s="17" t="s">
        <v>150</v>
      </c>
    </row>
    <row r="4" spans="1:18">
      <c r="B4" s="17" t="s">
        <v>25</v>
      </c>
    </row>
    <row r="5" spans="1:18">
      <c r="B5" s="43" t="s">
        <v>151</v>
      </c>
    </row>
    <row r="6" spans="1:18">
      <c r="B6" s="43" t="s">
        <v>69</v>
      </c>
    </row>
    <row r="7" spans="1:18">
      <c r="A7" s="372" t="s">
        <v>6</v>
      </c>
      <c r="B7" s="372" t="s">
        <v>5</v>
      </c>
      <c r="C7" s="372" t="s">
        <v>7</v>
      </c>
      <c r="D7" s="372" t="s">
        <v>12</v>
      </c>
      <c r="E7" s="372" t="s">
        <v>51</v>
      </c>
    </row>
    <row r="8" spans="1:18" ht="42">
      <c r="A8" s="468">
        <v>1</v>
      </c>
      <c r="B8" s="512" t="s">
        <v>154</v>
      </c>
      <c r="C8" s="195" t="s">
        <v>424</v>
      </c>
      <c r="D8" s="123" t="s">
        <v>215</v>
      </c>
      <c r="E8" s="47"/>
    </row>
    <row r="9" spans="1:18" ht="42">
      <c r="A9" s="469"/>
      <c r="B9" s="513"/>
      <c r="C9" s="195" t="s">
        <v>425</v>
      </c>
      <c r="D9" s="123" t="s">
        <v>215</v>
      </c>
      <c r="E9" s="47"/>
    </row>
    <row r="10" spans="1:18">
      <c r="A10" s="470"/>
      <c r="B10" s="514"/>
      <c r="C10" s="195"/>
      <c r="D10" s="123" t="s">
        <v>215</v>
      </c>
      <c r="E10" s="47"/>
    </row>
    <row r="11" spans="1:18" ht="63" customHeight="1">
      <c r="A11" s="474">
        <v>2</v>
      </c>
      <c r="B11" s="471" t="s">
        <v>155</v>
      </c>
      <c r="C11" s="195" t="s">
        <v>421</v>
      </c>
      <c r="D11" s="123" t="s">
        <v>215</v>
      </c>
      <c r="E11" s="47"/>
    </row>
    <row r="12" spans="1:18" ht="42">
      <c r="A12" s="475"/>
      <c r="B12" s="477"/>
      <c r="C12" s="195" t="s">
        <v>422</v>
      </c>
      <c r="D12" s="123" t="s">
        <v>215</v>
      </c>
      <c r="E12" s="47"/>
    </row>
    <row r="13" spans="1:18">
      <c r="A13" s="476"/>
      <c r="B13" s="478"/>
      <c r="C13" s="195"/>
      <c r="D13" s="123" t="s">
        <v>215</v>
      </c>
      <c r="E13" s="47"/>
    </row>
    <row r="14" spans="1:18" ht="42">
      <c r="A14" s="468">
        <v>3</v>
      </c>
      <c r="B14" s="512" t="s">
        <v>14</v>
      </c>
      <c r="C14" s="195" t="s">
        <v>423</v>
      </c>
      <c r="D14" s="123" t="s">
        <v>215</v>
      </c>
      <c r="E14" s="47"/>
    </row>
    <row r="15" spans="1:18">
      <c r="A15" s="469"/>
      <c r="B15" s="513"/>
      <c r="C15" s="195"/>
      <c r="D15" s="123" t="s">
        <v>215</v>
      </c>
      <c r="E15" s="47"/>
    </row>
    <row r="16" spans="1:18">
      <c r="A16" s="469"/>
      <c r="B16" s="513"/>
      <c r="C16" s="195"/>
      <c r="D16" s="123" t="s">
        <v>215</v>
      </c>
      <c r="E16" s="47"/>
    </row>
    <row r="17" spans="1:5">
      <c r="A17" s="470"/>
      <c r="B17" s="514"/>
      <c r="C17" s="195"/>
      <c r="D17" s="123" t="s">
        <v>215</v>
      </c>
      <c r="E17" s="47"/>
    </row>
    <row r="18" spans="1:5" ht="45.75" customHeight="1">
      <c r="A18" s="109">
        <v>4</v>
      </c>
      <c r="B18" s="373" t="s">
        <v>53</v>
      </c>
      <c r="C18" s="50" t="s">
        <v>54</v>
      </c>
      <c r="D18" s="123" t="s">
        <v>215</v>
      </c>
      <c r="E18" s="47"/>
    </row>
    <row r="19" spans="1:5" ht="34.5" customHeight="1">
      <c r="A19" s="468">
        <v>5</v>
      </c>
      <c r="B19" s="651" t="s">
        <v>55</v>
      </c>
      <c r="C19" s="195" t="s">
        <v>22</v>
      </c>
      <c r="D19" s="123" t="s">
        <v>215</v>
      </c>
      <c r="E19" s="209"/>
    </row>
    <row r="20" spans="1:5" ht="33.75" customHeight="1">
      <c r="A20" s="469"/>
      <c r="B20" s="651"/>
      <c r="C20" s="195" t="s">
        <v>36</v>
      </c>
      <c r="D20" s="123" t="s">
        <v>215</v>
      </c>
      <c r="E20" s="210"/>
    </row>
    <row r="21" spans="1:5" ht="36" customHeight="1">
      <c r="A21" s="469"/>
      <c r="B21" s="651"/>
      <c r="C21" s="195" t="s">
        <v>36</v>
      </c>
      <c r="D21" s="123" t="s">
        <v>215</v>
      </c>
      <c r="E21" s="210"/>
    </row>
    <row r="22" spans="1:5">
      <c r="A22" s="469"/>
      <c r="B22" s="651"/>
      <c r="C22" s="193"/>
      <c r="D22" s="123" t="s">
        <v>215</v>
      </c>
      <c r="E22" s="210"/>
    </row>
    <row r="23" spans="1:5">
      <c r="A23" s="469"/>
      <c r="B23" s="651"/>
      <c r="C23" s="193"/>
      <c r="D23" s="123" t="s">
        <v>215</v>
      </c>
      <c r="E23" s="210"/>
    </row>
    <row r="24" spans="1:5">
      <c r="A24" s="469"/>
      <c r="B24" s="651"/>
      <c r="C24" s="193"/>
      <c r="D24" s="123" t="s">
        <v>215</v>
      </c>
      <c r="E24" s="210"/>
    </row>
    <row r="25" spans="1:5">
      <c r="A25" s="470"/>
      <c r="B25" s="651"/>
      <c r="C25" s="210"/>
      <c r="D25" s="123" t="s">
        <v>215</v>
      </c>
      <c r="E25" s="210"/>
    </row>
    <row r="27" spans="1:5">
      <c r="A27" s="17" t="s">
        <v>150</v>
      </c>
    </row>
    <row r="28" spans="1:5">
      <c r="B28" s="17" t="s">
        <v>25</v>
      </c>
    </row>
    <row r="29" spans="1:5">
      <c r="B29" s="43" t="s">
        <v>152</v>
      </c>
    </row>
    <row r="30" spans="1:5">
      <c r="B30" s="43" t="s">
        <v>69</v>
      </c>
    </row>
    <row r="31" spans="1:5">
      <c r="A31" s="372" t="s">
        <v>6</v>
      </c>
      <c r="B31" s="372" t="s">
        <v>5</v>
      </c>
      <c r="C31" s="372" t="s">
        <v>7</v>
      </c>
      <c r="D31" s="372" t="s">
        <v>12</v>
      </c>
      <c r="E31" s="372" t="s">
        <v>51</v>
      </c>
    </row>
    <row r="32" spans="1:5">
      <c r="A32" s="468">
        <v>1</v>
      </c>
      <c r="B32" s="512" t="s">
        <v>154</v>
      </c>
      <c r="C32" s="195" t="s">
        <v>419</v>
      </c>
      <c r="D32" s="123" t="s">
        <v>215</v>
      </c>
      <c r="E32" s="47"/>
    </row>
    <row r="33" spans="1:5">
      <c r="A33" s="469"/>
      <c r="B33" s="513"/>
      <c r="C33" s="195" t="s">
        <v>420</v>
      </c>
      <c r="D33" s="123" t="s">
        <v>215</v>
      </c>
      <c r="E33" s="47"/>
    </row>
    <row r="34" spans="1:5">
      <c r="A34" s="470"/>
      <c r="B34" s="514"/>
      <c r="C34" s="195"/>
      <c r="D34" s="123" t="s">
        <v>215</v>
      </c>
      <c r="E34" s="47"/>
    </row>
    <row r="35" spans="1:5" ht="63" customHeight="1">
      <c r="A35" s="474">
        <v>2</v>
      </c>
      <c r="B35" s="471" t="s">
        <v>155</v>
      </c>
      <c r="C35" s="195" t="s">
        <v>421</v>
      </c>
      <c r="D35" s="123" t="s">
        <v>215</v>
      </c>
      <c r="E35" s="47"/>
    </row>
    <row r="36" spans="1:5" ht="42">
      <c r="A36" s="475"/>
      <c r="B36" s="477"/>
      <c r="C36" s="195" t="s">
        <v>422</v>
      </c>
      <c r="D36" s="123" t="s">
        <v>215</v>
      </c>
      <c r="E36" s="47"/>
    </row>
    <row r="37" spans="1:5">
      <c r="A37" s="476"/>
      <c r="B37" s="478"/>
      <c r="C37" s="195"/>
      <c r="D37" s="123" t="s">
        <v>215</v>
      </c>
      <c r="E37" s="47"/>
    </row>
    <row r="38" spans="1:5" ht="42">
      <c r="A38" s="468">
        <v>3</v>
      </c>
      <c r="B38" s="512" t="s">
        <v>14</v>
      </c>
      <c r="C38" s="195" t="s">
        <v>423</v>
      </c>
      <c r="D38" s="123" t="s">
        <v>215</v>
      </c>
      <c r="E38" s="47"/>
    </row>
    <row r="39" spans="1:5">
      <c r="A39" s="469"/>
      <c r="B39" s="513"/>
      <c r="C39" s="195"/>
      <c r="D39" s="123" t="s">
        <v>215</v>
      </c>
      <c r="E39" s="47"/>
    </row>
    <row r="40" spans="1:5">
      <c r="A40" s="469"/>
      <c r="B40" s="513"/>
      <c r="C40" s="195"/>
      <c r="D40" s="123" t="s">
        <v>215</v>
      </c>
      <c r="E40" s="47"/>
    </row>
    <row r="41" spans="1:5">
      <c r="A41" s="470"/>
      <c r="B41" s="514"/>
      <c r="C41" s="195"/>
      <c r="D41" s="123" t="s">
        <v>215</v>
      </c>
      <c r="E41" s="47"/>
    </row>
    <row r="42" spans="1:5" ht="45.75" customHeight="1">
      <c r="A42" s="109">
        <v>4</v>
      </c>
      <c r="B42" s="373" t="s">
        <v>53</v>
      </c>
      <c r="C42" s="50" t="s">
        <v>54</v>
      </c>
      <c r="D42" s="123" t="s">
        <v>215</v>
      </c>
      <c r="E42" s="47"/>
    </row>
    <row r="43" spans="1:5">
      <c r="A43" s="465">
        <v>5</v>
      </c>
      <c r="B43" s="651" t="s">
        <v>55</v>
      </c>
      <c r="C43" s="195" t="s">
        <v>22</v>
      </c>
      <c r="D43" s="123" t="s">
        <v>215</v>
      </c>
      <c r="E43" s="209"/>
    </row>
    <row r="44" spans="1:5">
      <c r="A44" s="465"/>
      <c r="B44" s="651"/>
      <c r="C44" s="195" t="s">
        <v>36</v>
      </c>
      <c r="D44" s="123" t="s">
        <v>215</v>
      </c>
      <c r="E44" s="210"/>
    </row>
    <row r="45" spans="1:5">
      <c r="A45" s="465"/>
      <c r="B45" s="651"/>
      <c r="C45" s="195" t="s">
        <v>36</v>
      </c>
      <c r="D45" s="123" t="s">
        <v>215</v>
      </c>
      <c r="E45" s="210"/>
    </row>
    <row r="46" spans="1:5">
      <c r="A46" s="465"/>
      <c r="B46" s="651"/>
      <c r="C46" s="193"/>
      <c r="D46" s="123" t="s">
        <v>215</v>
      </c>
      <c r="E46" s="210"/>
    </row>
    <row r="47" spans="1:5">
      <c r="A47" s="465"/>
      <c r="B47" s="651"/>
      <c r="C47" s="193"/>
      <c r="D47" s="123" t="s">
        <v>215</v>
      </c>
      <c r="E47" s="210"/>
    </row>
    <row r="48" spans="1:5">
      <c r="A48" s="465"/>
      <c r="B48" s="651"/>
      <c r="C48" s="193"/>
      <c r="D48" s="123" t="s">
        <v>215</v>
      </c>
      <c r="E48" s="210"/>
    </row>
    <row r="49" spans="1:5">
      <c r="A49" s="465"/>
      <c r="B49" s="651"/>
      <c r="C49" s="210"/>
      <c r="D49" s="123" t="s">
        <v>215</v>
      </c>
      <c r="E49" s="210"/>
    </row>
    <row r="52" spans="1:5">
      <c r="A52" s="17" t="s">
        <v>150</v>
      </c>
    </row>
    <row r="53" spans="1:5">
      <c r="B53" s="17" t="s">
        <v>25</v>
      </c>
    </row>
    <row r="54" spans="1:5">
      <c r="B54" s="43" t="s">
        <v>153</v>
      </c>
    </row>
    <row r="55" spans="1:5">
      <c r="B55" s="43" t="s">
        <v>69</v>
      </c>
    </row>
    <row r="56" spans="1:5">
      <c r="A56" s="372" t="s">
        <v>6</v>
      </c>
      <c r="B56" s="372" t="s">
        <v>5</v>
      </c>
      <c r="C56" s="372" t="s">
        <v>7</v>
      </c>
      <c r="D56" s="372" t="s">
        <v>12</v>
      </c>
      <c r="E56" s="372" t="s">
        <v>51</v>
      </c>
    </row>
    <row r="57" spans="1:5">
      <c r="A57" s="468">
        <v>1</v>
      </c>
      <c r="B57" s="512" t="s">
        <v>154</v>
      </c>
      <c r="C57" s="195" t="s">
        <v>426</v>
      </c>
      <c r="D57" s="123" t="s">
        <v>215</v>
      </c>
      <c r="E57" s="47"/>
    </row>
    <row r="58" spans="1:5">
      <c r="A58" s="469"/>
      <c r="B58" s="513"/>
      <c r="C58" s="195" t="s">
        <v>69</v>
      </c>
      <c r="D58" s="123" t="s">
        <v>215</v>
      </c>
      <c r="E58" s="47"/>
    </row>
    <row r="59" spans="1:5">
      <c r="A59" s="470"/>
      <c r="B59" s="514"/>
      <c r="C59" s="195"/>
      <c r="D59" s="123" t="s">
        <v>215</v>
      </c>
      <c r="E59" s="47"/>
    </row>
    <row r="60" spans="1:5" ht="63" customHeight="1">
      <c r="A60" s="474">
        <v>2</v>
      </c>
      <c r="B60" s="471" t="s">
        <v>155</v>
      </c>
      <c r="C60" s="195" t="s">
        <v>427</v>
      </c>
      <c r="D60" s="123" t="s">
        <v>215</v>
      </c>
      <c r="E60" s="47"/>
    </row>
    <row r="61" spans="1:5" ht="42">
      <c r="A61" s="475"/>
      <c r="B61" s="477"/>
      <c r="C61" s="195" t="s">
        <v>428</v>
      </c>
      <c r="D61" s="123" t="s">
        <v>215</v>
      </c>
      <c r="E61" s="47"/>
    </row>
    <row r="62" spans="1:5">
      <c r="A62" s="476"/>
      <c r="B62" s="478"/>
      <c r="C62" s="195"/>
      <c r="D62" s="123" t="s">
        <v>215</v>
      </c>
      <c r="E62" s="47"/>
    </row>
    <row r="63" spans="1:5" ht="42">
      <c r="A63" s="468">
        <v>3</v>
      </c>
      <c r="B63" s="512" t="s">
        <v>14</v>
      </c>
      <c r="C63" s="195" t="s">
        <v>429</v>
      </c>
      <c r="D63" s="123" t="s">
        <v>215</v>
      </c>
      <c r="E63" s="47"/>
    </row>
    <row r="64" spans="1:5">
      <c r="A64" s="469"/>
      <c r="B64" s="513"/>
      <c r="C64" s="195"/>
      <c r="D64" s="123" t="s">
        <v>215</v>
      </c>
      <c r="E64" s="47"/>
    </row>
    <row r="65" spans="1:5">
      <c r="A65" s="469"/>
      <c r="B65" s="513"/>
      <c r="C65" s="195"/>
      <c r="D65" s="123" t="s">
        <v>215</v>
      </c>
      <c r="E65" s="47"/>
    </row>
    <row r="66" spans="1:5">
      <c r="A66" s="470"/>
      <c r="B66" s="514"/>
      <c r="C66" s="195"/>
      <c r="D66" s="123" t="s">
        <v>215</v>
      </c>
      <c r="E66" s="47"/>
    </row>
    <row r="67" spans="1:5" ht="54" customHeight="1">
      <c r="A67" s="109">
        <v>4</v>
      </c>
      <c r="B67" s="373" t="s">
        <v>53</v>
      </c>
      <c r="C67" s="50" t="s">
        <v>54</v>
      </c>
      <c r="D67" s="123" t="s">
        <v>215</v>
      </c>
      <c r="E67" s="47"/>
    </row>
    <row r="68" spans="1:5">
      <c r="A68" s="465">
        <v>5</v>
      </c>
      <c r="B68" s="651" t="s">
        <v>55</v>
      </c>
      <c r="C68" s="195" t="s">
        <v>22</v>
      </c>
      <c r="D68" s="123" t="s">
        <v>215</v>
      </c>
      <c r="E68" s="209"/>
    </row>
    <row r="69" spans="1:5">
      <c r="A69" s="465"/>
      <c r="B69" s="651"/>
      <c r="C69" s="195" t="s">
        <v>36</v>
      </c>
      <c r="D69" s="123" t="s">
        <v>215</v>
      </c>
      <c r="E69" s="210"/>
    </row>
    <row r="70" spans="1:5">
      <c r="A70" s="465"/>
      <c r="B70" s="651"/>
      <c r="C70" s="195" t="s">
        <v>36</v>
      </c>
      <c r="D70" s="123" t="s">
        <v>215</v>
      </c>
      <c r="E70" s="210"/>
    </row>
    <row r="71" spans="1:5">
      <c r="A71" s="465"/>
      <c r="B71" s="651"/>
      <c r="C71" s="193"/>
      <c r="D71" s="123" t="s">
        <v>215</v>
      </c>
      <c r="E71" s="210"/>
    </row>
    <row r="72" spans="1:5">
      <c r="A72" s="465"/>
      <c r="B72" s="651"/>
      <c r="C72" s="193"/>
      <c r="D72" s="123" t="s">
        <v>215</v>
      </c>
      <c r="E72" s="210"/>
    </row>
    <row r="73" spans="1:5">
      <c r="A73" s="465"/>
      <c r="B73" s="651"/>
      <c r="C73" s="193"/>
      <c r="D73" s="123" t="s">
        <v>215</v>
      </c>
      <c r="E73" s="210"/>
    </row>
    <row r="74" spans="1:5">
      <c r="A74" s="465"/>
      <c r="B74" s="651"/>
      <c r="C74" s="210"/>
      <c r="D74" s="123" t="s">
        <v>215</v>
      </c>
      <c r="E74" s="210"/>
    </row>
    <row r="76" spans="1:5">
      <c r="B76" s="2" t="s">
        <v>304</v>
      </c>
      <c r="C76" s="2"/>
      <c r="D76" s="153">
        <v>5</v>
      </c>
      <c r="E76" s="2" t="s">
        <v>6</v>
      </c>
    </row>
    <row r="79" spans="1:5">
      <c r="B79" s="54" t="s">
        <v>209</v>
      </c>
      <c r="C79" s="54"/>
    </row>
    <row r="80" spans="1:5">
      <c r="B80" s="54" t="s">
        <v>210</v>
      </c>
      <c r="C80" s="54"/>
    </row>
    <row r="81" spans="2:3">
      <c r="B81" s="54" t="s">
        <v>211</v>
      </c>
      <c r="C81" s="54"/>
    </row>
    <row r="82" spans="2:3">
      <c r="B82" s="54" t="s">
        <v>212</v>
      </c>
      <c r="C82" s="54"/>
    </row>
  </sheetData>
  <sheetProtection algorithmName="SHA-512" hashValue="ZOLrwRpWYDCR3gc85f8KIlGl4AB0VMYDr/26mCZm9pdsQaf4eXYly+8Xlq1leaIDu91zgPGhK00M2CNqEvOIzQ==" saltValue="uXWeSImzQFfO7rSQUrSbtw==" spinCount="100000" sheet="1" objects="1" scenarios="1" formatRows="0"/>
  <protectedRanges>
    <protectedRange sqref="C8:E25 C32:E49 C57:E74 D76" name="Range1"/>
  </protectedRanges>
  <mergeCells count="25">
    <mergeCell ref="A63:A66"/>
    <mergeCell ref="B63:B66"/>
    <mergeCell ref="A68:A74"/>
    <mergeCell ref="B68:B74"/>
    <mergeCell ref="A43:A49"/>
    <mergeCell ref="B43:B49"/>
    <mergeCell ref="A57:A59"/>
    <mergeCell ref="B57:B59"/>
    <mergeCell ref="A60:A62"/>
    <mergeCell ref="B60:B62"/>
    <mergeCell ref="A32:A34"/>
    <mergeCell ref="B32:B34"/>
    <mergeCell ref="A35:A37"/>
    <mergeCell ref="B35:B37"/>
    <mergeCell ref="A38:A41"/>
    <mergeCell ref="B38:B41"/>
    <mergeCell ref="A19:A25"/>
    <mergeCell ref="B19:B25"/>
    <mergeCell ref="A1:E1"/>
    <mergeCell ref="A8:A10"/>
    <mergeCell ref="B8:B10"/>
    <mergeCell ref="A11:A13"/>
    <mergeCell ref="B11:B13"/>
    <mergeCell ref="A14:A17"/>
    <mergeCell ref="B14:B17"/>
  </mergeCells>
  <dataValidations count="2">
    <dataValidation type="list" allowBlank="1" showInputMessage="1" showErrorMessage="1" sqref="D57:D74 D32:D49 D8:D25">
      <formula1>"มี,ไม่มี"</formula1>
    </dataValidation>
    <dataValidation type="list" allowBlank="1" showInputMessage="1" showErrorMessage="1" sqref="D76">
      <formula1>"0,1,2,3,4,5"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39"/>
  <sheetViews>
    <sheetView zoomScale="70" zoomScaleNormal="70" workbookViewId="0">
      <selection activeCell="B3" sqref="B3"/>
    </sheetView>
  </sheetViews>
  <sheetFormatPr defaultColWidth="9" defaultRowHeight="23.25"/>
  <cols>
    <col min="1" max="1" width="4.42578125" style="262" customWidth="1"/>
    <col min="2" max="2" width="42.5703125" style="264" customWidth="1"/>
    <col min="3" max="3" width="8" style="262" customWidth="1"/>
    <col min="4" max="4" width="9.85546875" style="262" customWidth="1"/>
    <col min="5" max="5" width="7.5703125" style="262" customWidth="1"/>
    <col min="6" max="6" width="11.5703125" style="262" customWidth="1"/>
    <col min="7" max="7" width="12.42578125" style="262" customWidth="1"/>
    <col min="8" max="8" width="14.140625" style="262" customWidth="1"/>
    <col min="9" max="9" width="2.85546875" style="262" customWidth="1"/>
    <col min="10" max="10" width="1.5703125" style="262" customWidth="1"/>
    <col min="11" max="14" width="9" style="262"/>
    <col min="15" max="15" width="1.7109375" style="262" customWidth="1"/>
    <col min="16" max="16384" width="9" style="262"/>
  </cols>
  <sheetData>
    <row r="1" spans="1:16" ht="29.25">
      <c r="A1" s="731" t="str">
        <f>"แบบรายงานประเมินคุณภาพการศึกษาภายใน ระดับอุดมศึกษา รายตัวบ่งชี้ ประจำปีการศึกษา พ.ศ."&amp; '1.1'!B7</f>
        <v>แบบรายงานประเมินคุณภาพการศึกษาภายใน ระดับอุดมศึกษา รายตัวบ่งชี้ ประจำปีการศึกษา พ.ศ.2560</v>
      </c>
      <c r="B1" s="732"/>
      <c r="C1" s="732"/>
      <c r="D1" s="732"/>
      <c r="E1" s="732"/>
      <c r="F1" s="732"/>
      <c r="G1" s="733"/>
      <c r="H1" s="733"/>
    </row>
    <row r="2" spans="1:16" ht="26.25">
      <c r="A2" s="331"/>
      <c r="B2" s="332" t="s">
        <v>448</v>
      </c>
      <c r="C2" s="331"/>
      <c r="D2" s="331"/>
      <c r="E2" s="331"/>
      <c r="F2" s="333" t="s">
        <v>449</v>
      </c>
      <c r="G2" s="335" t="str">
        <f>'1.1'!F7</f>
        <v>ปริญญาตรี</v>
      </c>
      <c r="H2" s="334" t="s">
        <v>69</v>
      </c>
      <c r="J2" s="263"/>
      <c r="K2" s="263"/>
      <c r="L2" s="263"/>
    </row>
    <row r="3" spans="1:16" ht="26.25">
      <c r="B3" s="225" t="str">
        <f>"หลักสูตร"&amp;'1.1'!B6&amp;"       คณะ"&amp;'1.1'!F6&amp;"       "&amp;'1.1'!J6</f>
        <v>หลักสูตรนิติวิทยา       คณะวิทยาศาสตร์       โรงเรียนนายร้อยตำรวจ</v>
      </c>
      <c r="C3" s="224"/>
      <c r="D3" s="224"/>
      <c r="E3" s="224"/>
      <c r="F3" s="226"/>
      <c r="G3" s="224"/>
      <c r="H3" s="224"/>
      <c r="I3" s="224"/>
      <c r="J3" s="224"/>
      <c r="K3" s="224"/>
      <c r="L3" s="224"/>
      <c r="M3" s="224"/>
    </row>
    <row r="4" spans="1:16" ht="27.75" customHeight="1">
      <c r="F4" s="265"/>
      <c r="G4" s="265"/>
      <c r="H4" s="265"/>
    </row>
    <row r="5" spans="1:16" ht="25.5" customHeight="1">
      <c r="A5" s="776" t="s">
        <v>162</v>
      </c>
      <c r="B5" s="777"/>
      <c r="C5" s="778" t="s">
        <v>252</v>
      </c>
      <c r="D5" s="780" t="str">
        <f>"เป้าหมายปี พ.ศ."  &amp; '1.1'!B7</f>
        <v>เป้าหมายปี พ.ศ.2560</v>
      </c>
      <c r="E5" s="783" t="str">
        <f>"ผลการดำเนินงานปี "  &amp; G1</f>
        <v xml:space="preserve">ผลการดำเนินงานปี </v>
      </c>
      <c r="F5" s="784"/>
      <c r="G5" s="780" t="s">
        <v>451</v>
      </c>
      <c r="H5" s="787" t="s">
        <v>111</v>
      </c>
      <c r="J5" s="773" t="s">
        <v>450</v>
      </c>
      <c r="K5" s="774"/>
      <c r="L5" s="774"/>
      <c r="M5" s="774"/>
      <c r="N5" s="774"/>
      <c r="O5" s="775"/>
    </row>
    <row r="6" spans="1:16" ht="24" customHeight="1">
      <c r="A6" s="777"/>
      <c r="B6" s="777"/>
      <c r="C6" s="779"/>
      <c r="D6" s="781"/>
      <c r="E6" s="268" t="s">
        <v>453</v>
      </c>
      <c r="F6" s="269" t="s">
        <v>454</v>
      </c>
      <c r="G6" s="785"/>
      <c r="H6" s="788"/>
      <c r="J6" s="266"/>
      <c r="K6" s="763" t="s">
        <v>452</v>
      </c>
      <c r="L6" s="764"/>
      <c r="M6" s="764"/>
      <c r="N6" s="764"/>
      <c r="O6" s="267"/>
    </row>
    <row r="7" spans="1:16" ht="25.5" customHeight="1">
      <c r="A7" s="777"/>
      <c r="B7" s="777"/>
      <c r="C7" s="779"/>
      <c r="D7" s="782"/>
      <c r="E7" s="268" t="s">
        <v>456</v>
      </c>
      <c r="F7" s="270" t="s">
        <v>457</v>
      </c>
      <c r="G7" s="786"/>
      <c r="H7" s="271" t="s">
        <v>458</v>
      </c>
      <c r="J7" s="266"/>
      <c r="K7" s="765" t="s">
        <v>455</v>
      </c>
      <c r="L7" s="766"/>
      <c r="M7" s="766"/>
      <c r="N7" s="766"/>
      <c r="O7" s="267"/>
    </row>
    <row r="8" spans="1:16" s="265" customFormat="1" ht="27.75" customHeight="1">
      <c r="A8" s="273" t="s">
        <v>460</v>
      </c>
      <c r="B8" s="274"/>
      <c r="C8" s="275" t="s">
        <v>6</v>
      </c>
      <c r="D8" s="341"/>
      <c r="E8" s="767">
        <f>(G12+G13+G16+G17+G18+G20+G21+G27+G29+G30+G31+G32+G35)/13</f>
        <v>4.2628205128205128</v>
      </c>
      <c r="F8" s="768"/>
      <c r="G8" s="276">
        <f>E8</f>
        <v>4.2628205128205128</v>
      </c>
      <c r="H8" s="277" t="str">
        <f>IF(D8&gt;E8,"ไม่บรรลุ",IF(D8&lt;=E8,"บรรลุ"))</f>
        <v>บรรลุ</v>
      </c>
      <c r="J8" s="272" t="s">
        <v>69</v>
      </c>
      <c r="K8" s="734" t="s">
        <v>459</v>
      </c>
      <c r="L8" s="735"/>
      <c r="M8" s="735"/>
      <c r="N8" s="735"/>
      <c r="O8" s="267"/>
    </row>
    <row r="9" spans="1:16" ht="50.25" customHeight="1">
      <c r="A9" s="281" t="s">
        <v>461</v>
      </c>
      <c r="B9" s="282"/>
      <c r="C9" s="283" t="s">
        <v>394</v>
      </c>
      <c r="D9" s="284">
        <f>D10</f>
        <v>3</v>
      </c>
      <c r="E9" s="769">
        <f>E10</f>
        <v>3</v>
      </c>
      <c r="F9" s="770"/>
      <c r="G9" s="285" t="str">
        <f>G10</f>
        <v>ผ่าน</v>
      </c>
      <c r="H9" s="286" t="str">
        <f>H10</f>
        <v>หลักสูตรได้มาตรฐาน</v>
      </c>
      <c r="J9" s="278" t="s">
        <v>69</v>
      </c>
      <c r="K9" s="279"/>
      <c r="L9" s="279"/>
      <c r="M9" s="279"/>
      <c r="N9" s="279"/>
      <c r="O9" s="280"/>
      <c r="P9" s="265"/>
    </row>
    <row r="10" spans="1:16" ht="47.25">
      <c r="A10" s="287">
        <v>1.1000000000000001</v>
      </c>
      <c r="B10" s="288" t="s">
        <v>462</v>
      </c>
      <c r="C10" s="289" t="s">
        <v>394</v>
      </c>
      <c r="D10" s="290">
        <v>3</v>
      </c>
      <c r="E10" s="728">
        <f>'1.1'!J23</f>
        <v>3</v>
      </c>
      <c r="F10" s="729"/>
      <c r="G10" s="291" t="str">
        <f>IF(E10=D10,"ผ่าน",IF(E10&lt;D10,"ไม่ผ่าน   คะแนน เป็น  0","กรอกคะแนนผิด"))</f>
        <v>ผ่าน</v>
      </c>
      <c r="H10" s="292" t="str">
        <f>IF(E10=D10,"หลักสูตรได้มาตรฐาน",IF(E10&lt;D10,"หลักสูตรไม่ได้มาตรฐาน","กรอกคะแนนผิด"))</f>
        <v>หลักสูตรได้มาตรฐาน</v>
      </c>
      <c r="J10" s="265"/>
      <c r="K10" s="265"/>
      <c r="L10" s="265"/>
      <c r="M10" s="265"/>
      <c r="N10" s="265"/>
      <c r="O10" s="265"/>
    </row>
    <row r="11" spans="1:16" s="265" customFormat="1" ht="26.25">
      <c r="A11" s="293" t="s">
        <v>463</v>
      </c>
      <c r="B11" s="294"/>
      <c r="C11" s="295" t="s">
        <v>6</v>
      </c>
      <c r="D11" s="342"/>
      <c r="E11" s="294"/>
      <c r="F11" s="297"/>
      <c r="G11" s="298">
        <f>(G12+G13)/2</f>
        <v>3.5416666666666661</v>
      </c>
      <c r="H11" s="283" t="str">
        <f>IF(D11&gt;G11,"ไม่บรรลุ",IF(D11&lt;=G11,"บรรลุ"))</f>
        <v>บรรลุ</v>
      </c>
      <c r="K11" s="262"/>
      <c r="L11" s="262"/>
    </row>
    <row r="12" spans="1:16" ht="46.5">
      <c r="A12" s="299">
        <v>2.1</v>
      </c>
      <c r="B12" s="288" t="s">
        <v>464</v>
      </c>
      <c r="C12" s="289" t="s">
        <v>6</v>
      </c>
      <c r="D12" s="300">
        <v>4.25</v>
      </c>
      <c r="E12" s="771">
        <f>'2.1'!L18</f>
        <v>3.75</v>
      </c>
      <c r="F12" s="772"/>
      <c r="G12" s="301">
        <f>E12</f>
        <v>3.75</v>
      </c>
      <c r="H12" s="302" t="str">
        <f>IF(D12&gt;E12,"ไม่บรรลุ",IF(D12&lt;=E12,"บรรลุ"))</f>
        <v>ไม่บรรลุ</v>
      </c>
    </row>
    <row r="13" spans="1:16" ht="30" customHeight="1">
      <c r="A13" s="759">
        <v>2.2000000000000002</v>
      </c>
      <c r="B13" s="761" t="str">
        <f xml:space="preserve"> IF(G2="ปริญญาตรี","ร้อยละของบัญฑิตปริญญาตรีที่ได้งานทำหรือประกอบอาชีพอิสระภายใน 1 ปี", IF(G2="ปริญญาโท","ผลงานของนักศึกษาและผู้สำเร็จการศึกษาในระดับปริญญาโทที่ได้รับการตีพิมพ์หรือเผยแพร่", IF(G2="ปริญญาเอก","ผลงานของนักศึกษาและผู้สำเร็จการศึกษาในระดับปริญญาเอกที่ได้รับการตีพิมพ์หรือเผยแพร่")))</f>
        <v>ร้อยละของบัญฑิตปริญญาตรีที่ได้งานทำหรือประกอบอาชีพอิสระภายใน 1 ปี</v>
      </c>
      <c r="C13" s="740" t="s">
        <v>465</v>
      </c>
      <c r="D13" s="755">
        <v>85</v>
      </c>
      <c r="E13" s="303">
        <f>'2.2'!B23</f>
        <v>74</v>
      </c>
      <c r="F13" s="744">
        <f>IF(E13&gt;E14,"กรอกผิด",(E13/E14*100))</f>
        <v>66.666666666666657</v>
      </c>
      <c r="G13" s="744">
        <f>'2.2'!B32</f>
        <v>3.3333333333333326</v>
      </c>
      <c r="H13" s="726" t="str">
        <f>IF(F13="กรอกผิด","-",IF(D13&gt;F13,"ไม่บรรลุ",IF(D13&lt;=F13,"บรรลุ")))</f>
        <v>ไม่บรรลุ</v>
      </c>
    </row>
    <row r="14" spans="1:16" ht="26.25" customHeight="1">
      <c r="A14" s="760"/>
      <c r="B14" s="762"/>
      <c r="C14" s="754"/>
      <c r="D14" s="756"/>
      <c r="E14" s="303">
        <f>'2.2'!B24</f>
        <v>111</v>
      </c>
      <c r="F14" s="745"/>
      <c r="G14" s="745"/>
      <c r="H14" s="727"/>
    </row>
    <row r="15" spans="1:16" s="265" customFormat="1" ht="26.25">
      <c r="A15" s="293" t="s">
        <v>466</v>
      </c>
      <c r="B15" s="294"/>
      <c r="C15" s="283" t="s">
        <v>6</v>
      </c>
      <c r="D15" s="296">
        <f>AVERAGE(D16:D18)</f>
        <v>3</v>
      </c>
      <c r="E15" s="294"/>
      <c r="F15" s="297"/>
      <c r="G15" s="298">
        <f>AVERAGE(G16:G18)</f>
        <v>3</v>
      </c>
      <c r="H15" s="283" t="str">
        <f>IF(D15&gt;G15,"ไม่บรรลุ",IF(D15&lt;=G15,"บรรลุ"))</f>
        <v>บรรลุ</v>
      </c>
      <c r="K15" s="262"/>
      <c r="L15" s="262"/>
    </row>
    <row r="16" spans="1:16">
      <c r="A16" s="304">
        <v>3.1</v>
      </c>
      <c r="B16" s="305" t="s">
        <v>467</v>
      </c>
      <c r="C16" s="289" t="s">
        <v>6</v>
      </c>
      <c r="D16" s="306">
        <v>3</v>
      </c>
      <c r="E16" s="728">
        <f>'3.1'!D48</f>
        <v>2</v>
      </c>
      <c r="F16" s="729"/>
      <c r="G16" s="301">
        <f>IF(OR(E16="N/A",E16=0),0,IF(E16=0,0,IF(E16=1,1,IF(E16=2,2,IF(E16=3,3,IF(E16=4,4,IF(E16=5,5)))))))</f>
        <v>2</v>
      </c>
      <c r="H16" s="302" t="str">
        <f t="shared" ref="H16:H21" si="0">IF(D16&gt;E16,"ไม่บรรลุ",IF(D16&lt;=E16,"บรรลุ"))</f>
        <v>ไม่บรรลุ</v>
      </c>
    </row>
    <row r="17" spans="1:12">
      <c r="A17" s="304">
        <v>3.2</v>
      </c>
      <c r="B17" s="288" t="s">
        <v>468</v>
      </c>
      <c r="C17" s="289" t="s">
        <v>6</v>
      </c>
      <c r="D17" s="306">
        <v>3</v>
      </c>
      <c r="E17" s="728">
        <f>'3.2'!D80</f>
        <v>5</v>
      </c>
      <c r="F17" s="729"/>
      <c r="G17" s="301">
        <f t="shared" ref="G17:G18" si="1">IF(OR(E17="N/A",E17=0),0,IF(E17=0,0,IF(E17=1,1,IF(E17=2,2,IF(E17=3,3,IF(E17=4,4,IF(E17=5,5)))))))</f>
        <v>5</v>
      </c>
      <c r="H17" s="302" t="str">
        <f t="shared" si="0"/>
        <v>บรรลุ</v>
      </c>
    </row>
    <row r="18" spans="1:12">
      <c r="A18" s="304">
        <v>3.3</v>
      </c>
      <c r="B18" s="288" t="s">
        <v>469</v>
      </c>
      <c r="C18" s="289" t="s">
        <v>6</v>
      </c>
      <c r="D18" s="306">
        <v>3</v>
      </c>
      <c r="E18" s="728">
        <f>'3.3'!D31</f>
        <v>2</v>
      </c>
      <c r="F18" s="729"/>
      <c r="G18" s="301">
        <f t="shared" si="1"/>
        <v>2</v>
      </c>
      <c r="H18" s="302" t="str">
        <f t="shared" si="0"/>
        <v>ไม่บรรลุ</v>
      </c>
    </row>
    <row r="19" spans="1:12" s="307" customFormat="1" ht="26.25">
      <c r="A19" s="293" t="s">
        <v>470</v>
      </c>
      <c r="B19" s="294"/>
      <c r="C19" s="283" t="s">
        <v>6</v>
      </c>
      <c r="D19" s="298">
        <f>AVERAGE(D20,D21,D27)</f>
        <v>3</v>
      </c>
      <c r="E19" s="294"/>
      <c r="F19" s="297"/>
      <c r="G19" s="298">
        <f>AVERAGE(G20:G21,G27)</f>
        <v>4.7777777777777777</v>
      </c>
      <c r="H19" s="283" t="str">
        <f>IF(D19&gt;G19,"ไม่บรรลุ",IF(D19&lt;=G19,"บรรลุ"))</f>
        <v>บรรลุ</v>
      </c>
    </row>
    <row r="20" spans="1:12">
      <c r="A20" s="304">
        <v>4.0999999999999996</v>
      </c>
      <c r="B20" s="288" t="s">
        <v>471</v>
      </c>
      <c r="C20" s="289" t="s">
        <v>6</v>
      </c>
      <c r="D20" s="308">
        <v>3</v>
      </c>
      <c r="E20" s="728">
        <f>'4.1'!I83</f>
        <v>5</v>
      </c>
      <c r="F20" s="729"/>
      <c r="G20" s="301">
        <f>IF(OR(E20="N/A",E20=0),0,IF(E20=0,0,IF(E20=1,1,IF(E20=2,2,IF(E20=3,3,IF(E20=4,4,IF(E20=5,5)))))))</f>
        <v>5</v>
      </c>
      <c r="H20" s="302" t="str">
        <f t="shared" si="0"/>
        <v>บรรลุ</v>
      </c>
    </row>
    <row r="21" spans="1:12" ht="26.25">
      <c r="A21" s="309">
        <v>4.2</v>
      </c>
      <c r="B21" s="310" t="s">
        <v>472</v>
      </c>
      <c r="C21" s="311" t="s">
        <v>6</v>
      </c>
      <c r="D21" s="340"/>
      <c r="E21" s="757">
        <f>'4.2'!F42</f>
        <v>4.333333333333333</v>
      </c>
      <c r="F21" s="758"/>
      <c r="G21" s="312">
        <f>'4.2'!F42</f>
        <v>4.333333333333333</v>
      </c>
      <c r="H21" s="313" t="str">
        <f t="shared" si="0"/>
        <v>บรรลุ</v>
      </c>
      <c r="K21" s="307"/>
      <c r="L21" s="307"/>
    </row>
    <row r="22" spans="1:12">
      <c r="A22" s="750"/>
      <c r="B22" s="752" t="s">
        <v>473</v>
      </c>
      <c r="C22" s="740" t="s">
        <v>465</v>
      </c>
      <c r="D22" s="755">
        <v>5</v>
      </c>
      <c r="E22" s="337">
        <f>'4.2'!F24</f>
        <v>1</v>
      </c>
      <c r="F22" s="744">
        <f>E22/E23*100</f>
        <v>20</v>
      </c>
      <c r="G22" s="744">
        <f>'4.2'!M29</f>
        <v>5</v>
      </c>
      <c r="H22" s="726" t="str">
        <f>IF(D22&gt;F22,"ไม่บรรลุ",IF(D22&lt;=F22,"บรรลุ"))</f>
        <v>บรรลุ</v>
      </c>
    </row>
    <row r="23" spans="1:12">
      <c r="A23" s="751"/>
      <c r="B23" s="753"/>
      <c r="C23" s="754"/>
      <c r="D23" s="756"/>
      <c r="E23" s="337">
        <f>'4.2'!F23</f>
        <v>5</v>
      </c>
      <c r="F23" s="745"/>
      <c r="G23" s="745"/>
      <c r="H23" s="727"/>
    </row>
    <row r="24" spans="1:12">
      <c r="A24" s="314"/>
      <c r="B24" s="315" t="s">
        <v>474</v>
      </c>
      <c r="C24" s="316" t="s">
        <v>465</v>
      </c>
      <c r="D24" s="317">
        <v>40</v>
      </c>
      <c r="E24" s="338">
        <f>'4.2'!F25+'4.2'!R25+'4.2'!F26</f>
        <v>3</v>
      </c>
      <c r="F24" s="318">
        <f>E24/E23*100</f>
        <v>60</v>
      </c>
      <c r="G24" s="319">
        <f>'4.2'!M33</f>
        <v>5</v>
      </c>
      <c r="H24" s="320" t="str">
        <f>IF(D24&gt;F24,"ไม่บรรลุ",IF(D24&lt;=F24,"บรรลุ"))</f>
        <v>บรรลุ</v>
      </c>
    </row>
    <row r="25" spans="1:12">
      <c r="A25" s="321"/>
      <c r="B25" s="322" t="s">
        <v>475</v>
      </c>
      <c r="C25" s="289" t="s">
        <v>465</v>
      </c>
      <c r="D25" s="317">
        <v>10</v>
      </c>
      <c r="E25" s="338">
        <f>'4.2'!F27</f>
        <v>0.60000000000000009</v>
      </c>
      <c r="F25" s="318">
        <f>'4.2'!F35</f>
        <v>12.000000000000002</v>
      </c>
      <c r="G25" s="319">
        <f>'4.2'!M36</f>
        <v>3.0000000000000004</v>
      </c>
      <c r="H25" s="320" t="str">
        <f>IF(D25&gt;F25,"ไม่บรรลุ",IF(D25&lt;=F25,"บรรลุ"))</f>
        <v>บรรลุ</v>
      </c>
    </row>
    <row r="26" spans="1:12">
      <c r="A26" s="314"/>
      <c r="B26" s="323" t="s">
        <v>476</v>
      </c>
      <c r="C26" s="324" t="str">
        <f>IF(G2="ปริญญาเอก", "อัตราส่วน", "ไม่ประเมิน")</f>
        <v>ไม่ประเมิน</v>
      </c>
      <c r="D26" s="317">
        <v>1</v>
      </c>
      <c r="E26" s="339">
        <f>'4.2'!R27</f>
        <v>7</v>
      </c>
      <c r="F26" s="318" t="str">
        <f>IF(G2="ปริญญาเอก",E26/E23,"ไม่ประเมิน ")</f>
        <v xml:space="preserve">ไม่ประเมิน </v>
      </c>
      <c r="G26" s="319" t="str">
        <f>IF(G2="ปริญญาเอก",IF(F26&gt;=K26,"5.00",F26*5/K26),"ไม่ประเมิน")</f>
        <v>ไม่ประเมิน</v>
      </c>
      <c r="H26" s="320" t="str">
        <f>IF(G2="ปริญญาเอก",IF(D26&gt;F26,"ไม่บรรลุ",IF(D26&lt;=F26,"บรรลุ")),"ไม่ประเมิน")</f>
        <v>ไม่ประเมิน</v>
      </c>
    </row>
    <row r="27" spans="1:12">
      <c r="A27" s="304">
        <v>4.3</v>
      </c>
      <c r="B27" s="288" t="s">
        <v>477</v>
      </c>
      <c r="C27" s="325" t="s">
        <v>6</v>
      </c>
      <c r="D27" s="306">
        <v>3</v>
      </c>
      <c r="E27" s="728">
        <f>'4.3'!F24</f>
        <v>5</v>
      </c>
      <c r="F27" s="729"/>
      <c r="G27" s="301">
        <f>IF(OR(E27="N/A",E27=0),0,IF(E27=0,0,IF(E27=1,1,IF(E27=2,2,IF(E27=3,3,IF(E27=4,4,IF(E27=5,5)))))))</f>
        <v>5</v>
      </c>
      <c r="H27" s="302" t="str">
        <f>IF(D27&gt;E27,"ไม่บรรลุ",IF(D27&lt;=E27,"บรรลุ"))</f>
        <v>บรรลุ</v>
      </c>
    </row>
    <row r="28" spans="1:12" s="326" customFormat="1" ht="26.25">
      <c r="A28" s="746" t="s">
        <v>478</v>
      </c>
      <c r="B28" s="747"/>
      <c r="C28" s="283" t="s">
        <v>6</v>
      </c>
      <c r="D28" s="296">
        <f>((D29+D30+D31+IF(D32=100,"5",IF(D32&gt;=95,"4.75",IF(D32&gt;=90,"4.50",IF(D32&gt;=80.01,"4.00",IF(D32&gt;=80,"3.50","0"))))))/4)</f>
        <v>3.5</v>
      </c>
      <c r="E28" s="748"/>
      <c r="F28" s="749"/>
      <c r="G28" s="298">
        <f>(G29+G30+G31+G32)/4</f>
        <v>5</v>
      </c>
      <c r="H28" s="283" t="str">
        <f>IF(D28&gt;G28,"ไม่บรรลุ",IF(D28&lt;=G28,"บรรลุ"))</f>
        <v>บรรลุ</v>
      </c>
      <c r="K28" s="262"/>
      <c r="L28" s="262"/>
    </row>
    <row r="29" spans="1:12">
      <c r="A29" s="304">
        <v>5.0999999999999996</v>
      </c>
      <c r="B29" s="288" t="s">
        <v>479</v>
      </c>
      <c r="C29" s="325" t="s">
        <v>6</v>
      </c>
      <c r="D29" s="306">
        <v>3</v>
      </c>
      <c r="E29" s="728">
        <f>'5.1'!D75</f>
        <v>5</v>
      </c>
      <c r="F29" s="729"/>
      <c r="G29" s="301">
        <f>IF(OR(E29="N/A",E29=0),0,IF(E29=0,0,IF(E29=1,1,IF(E29=2,2,IF(E29=3,3,IF(E29=4,4,IF(E29=5,5)))))))</f>
        <v>5</v>
      </c>
      <c r="H29" s="302" t="str">
        <f>IF(D20&gt;E20,"ไม่บรรลุ",IF(D20&lt;=E20,"บรรลุ"))</f>
        <v>บรรลุ</v>
      </c>
    </row>
    <row r="30" spans="1:12" ht="25.5" customHeight="1">
      <c r="A30" s="287">
        <v>5.2</v>
      </c>
      <c r="B30" s="327" t="s">
        <v>480</v>
      </c>
      <c r="C30" s="289" t="s">
        <v>6</v>
      </c>
      <c r="D30" s="306">
        <v>3</v>
      </c>
      <c r="E30" s="728">
        <f>'5.2'!D199</f>
        <v>5</v>
      </c>
      <c r="F30" s="729"/>
      <c r="G30" s="301">
        <f>IF(OR(E30="N/A",E30=0),0,IF(E30=0,0,IF(E30=1,1,IF(E30=2,2,IF(E30=3,3,IF(E30=4,4,IF(E30=5,5)))))))</f>
        <v>5</v>
      </c>
      <c r="H30" s="302" t="str">
        <f>IF(D30&gt;E30,"ไม่บรรลุ",IF(D30&lt;=E30,"บรรลุ"))</f>
        <v>บรรลุ</v>
      </c>
      <c r="K30" s="326"/>
      <c r="L30" s="326"/>
    </row>
    <row r="31" spans="1:12">
      <c r="A31" s="304">
        <v>5.3</v>
      </c>
      <c r="B31" s="288" t="s">
        <v>481</v>
      </c>
      <c r="C31" s="289" t="s">
        <v>6</v>
      </c>
      <c r="D31" s="306">
        <v>3</v>
      </c>
      <c r="E31" s="728">
        <f>'5.3'!D103</f>
        <v>5</v>
      </c>
      <c r="F31" s="729"/>
      <c r="G31" s="301">
        <f>IF(OR(E31="N/A",E31=0),0,IF(E31=0,0,IF(E31=1,1,IF(E31=2,2,IF(E31=3,3,IF(E31=4,4,IF(E31=5,5)))))))</f>
        <v>5</v>
      </c>
      <c r="H31" s="302" t="str">
        <f>IF(D31&gt;E31,"ไม่บรรลุ",IF(D31&lt;=E31,"บรรลุ"))</f>
        <v>บรรลุ</v>
      </c>
    </row>
    <row r="32" spans="1:12">
      <c r="A32" s="736">
        <v>5.4</v>
      </c>
      <c r="B32" s="738" t="s">
        <v>482</v>
      </c>
      <c r="C32" s="740" t="s">
        <v>465</v>
      </c>
      <c r="D32" s="742">
        <v>100</v>
      </c>
      <c r="E32" s="336">
        <f>'5.4'!C20</f>
        <v>11</v>
      </c>
      <c r="F32" s="744">
        <f>E32/E33*100</f>
        <v>100</v>
      </c>
      <c r="G32" s="724" t="str">
        <f>IF(F32&gt;=100,"5.00",IF(F32&gt;=95,"4.75",IF(F32&gt;=90,"4.50",IF(F32&gt;=80.01,"4.00",IF(F32&gt;=80,"3.50","0")))))</f>
        <v>5.00</v>
      </c>
      <c r="H32" s="726" t="str">
        <f>IF(D32&gt;F32,"ไม่บรรลุ",IF(D32&lt;=F32,"บรรลุ"))</f>
        <v>บรรลุ</v>
      </c>
    </row>
    <row r="33" spans="1:8">
      <c r="A33" s="737"/>
      <c r="B33" s="739"/>
      <c r="C33" s="741"/>
      <c r="D33" s="743"/>
      <c r="E33" s="336">
        <f>'5.4'!G20</f>
        <v>11</v>
      </c>
      <c r="F33" s="745"/>
      <c r="G33" s="725"/>
      <c r="H33" s="727"/>
    </row>
    <row r="34" spans="1:8" s="307" customFormat="1" ht="26.25">
      <c r="A34" s="293" t="s">
        <v>483</v>
      </c>
      <c r="B34" s="294"/>
      <c r="C34" s="328" t="s">
        <v>6</v>
      </c>
      <c r="D34" s="296">
        <f>D35</f>
        <v>3</v>
      </c>
      <c r="E34" s="294"/>
      <c r="F34" s="297"/>
      <c r="G34" s="298">
        <f>G35</f>
        <v>5</v>
      </c>
      <c r="H34" s="283" t="str">
        <f>IF(D34&gt;G34,"ไม่บรรลุ",IF(D34&lt;=G34,"บรรลุ"))</f>
        <v>บรรลุ</v>
      </c>
    </row>
    <row r="35" spans="1:8">
      <c r="A35" s="304">
        <v>6.1</v>
      </c>
      <c r="B35" s="288" t="s">
        <v>484</v>
      </c>
      <c r="C35" s="325" t="s">
        <v>6</v>
      </c>
      <c r="D35" s="306">
        <v>3</v>
      </c>
      <c r="E35" s="728">
        <f>'6.1'!D76</f>
        <v>5</v>
      </c>
      <c r="F35" s="729"/>
      <c r="G35" s="301">
        <f>IF(OR(E35="N/A",E35=0),0,IF(E35=0,0,IF(E35=1,1,IF(E35=2,2,IF(E35=3,3,IF(E35=4,4,IF(E35=5,5)))))))</f>
        <v>5</v>
      </c>
      <c r="H35" s="302" t="str">
        <f>IF(D35&gt;E35,"ไม่บรรลุ",IF(D35&lt;=E35,"บรรลุ"))</f>
        <v>บรรลุ</v>
      </c>
    </row>
    <row r="37" spans="1:8">
      <c r="B37" s="723" t="s">
        <v>209</v>
      </c>
      <c r="C37" s="520"/>
      <c r="D37" s="520"/>
      <c r="E37" s="520"/>
      <c r="H37" s="329"/>
    </row>
    <row r="38" spans="1:8">
      <c r="B38" s="723" t="s">
        <v>485</v>
      </c>
      <c r="C38" s="730"/>
      <c r="D38" s="730"/>
      <c r="E38" s="730"/>
      <c r="H38" s="330"/>
    </row>
    <row r="39" spans="1:8">
      <c r="B39" s="722" t="s">
        <v>488</v>
      </c>
      <c r="C39" s="520"/>
      <c r="D39" s="520"/>
      <c r="E39" s="520"/>
      <c r="H39" s="329"/>
    </row>
  </sheetData>
  <sheetProtection algorithmName="SHA-512" hashValue="3qqrsLthJM4knC2CLphS6gbD7vNrNZevMS4Q6XwwacQayrAUyAgnUYKWpmWFY5H3S9NUjCeS8+s82TWEkYM4dw==" saltValue="Wms2revYwlpxXr/gELoMNw==" spinCount="100000" sheet="1" objects="1" scenarios="1"/>
  <protectedRanges>
    <protectedRange sqref="D8 D10:D14 E13:E14 D16:D18 D20 D21:D27 D29:D33 D35" name="Range1"/>
  </protectedRanges>
  <mergeCells count="51">
    <mergeCell ref="J5:O5"/>
    <mergeCell ref="A5:B7"/>
    <mergeCell ref="C5:C7"/>
    <mergeCell ref="D5:D7"/>
    <mergeCell ref="E5:F5"/>
    <mergeCell ref="G5:G7"/>
    <mergeCell ref="H5:H6"/>
    <mergeCell ref="G13:G14"/>
    <mergeCell ref="H13:H14"/>
    <mergeCell ref="K6:N6"/>
    <mergeCell ref="K7:N7"/>
    <mergeCell ref="E8:F8"/>
    <mergeCell ref="E9:F9"/>
    <mergeCell ref="E10:F10"/>
    <mergeCell ref="E12:F12"/>
    <mergeCell ref="A13:A14"/>
    <mergeCell ref="B13:B14"/>
    <mergeCell ref="C13:C14"/>
    <mergeCell ref="D13:D14"/>
    <mergeCell ref="F13:F14"/>
    <mergeCell ref="C22:C23"/>
    <mergeCell ref="D22:D23"/>
    <mergeCell ref="F22:F23"/>
    <mergeCell ref="G22:G23"/>
    <mergeCell ref="E16:F16"/>
    <mergeCell ref="E17:F17"/>
    <mergeCell ref="E18:F18"/>
    <mergeCell ref="E20:F20"/>
    <mergeCell ref="E21:F21"/>
    <mergeCell ref="A1:H1"/>
    <mergeCell ref="K8:N8"/>
    <mergeCell ref="E30:F30"/>
    <mergeCell ref="E31:F31"/>
    <mergeCell ref="A32:A33"/>
    <mergeCell ref="B32:B33"/>
    <mergeCell ref="C32:C33"/>
    <mergeCell ref="D32:D33"/>
    <mergeCell ref="F32:F33"/>
    <mergeCell ref="H22:H23"/>
    <mergeCell ref="E27:F27"/>
    <mergeCell ref="A28:B28"/>
    <mergeCell ref="E28:F28"/>
    <mergeCell ref="E29:F29"/>
    <mergeCell ref="A22:A23"/>
    <mergeCell ref="B22:B23"/>
    <mergeCell ref="B39:E39"/>
    <mergeCell ref="B37:E37"/>
    <mergeCell ref="G32:G33"/>
    <mergeCell ref="H32:H33"/>
    <mergeCell ref="E35:F35"/>
    <mergeCell ref="B38:E38"/>
  </mergeCells>
  <dataValidations count="1">
    <dataValidation type="list" allowBlank="1" showInputMessage="1" showErrorMessage="1" sqref="D16:D18 D35 D20 D29:D31 D27">
      <formula1>"0,1,2,3,4,5"</formula1>
    </dataValidation>
  </dataValidations>
  <pageMargins left="0.43" right="0.23622047244094491" top="0.43307086614173229" bottom="0.55118110236220474" header="0.31496062992125984" footer="0.27559055118110237"/>
  <pageSetup scale="70" orientation="portrait" blackAndWhite="1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8"/>
  <sheetViews>
    <sheetView zoomScale="140" zoomScaleNormal="140" workbookViewId="0">
      <selection activeCell="L18" sqref="L18"/>
    </sheetView>
  </sheetViews>
  <sheetFormatPr defaultColWidth="9.140625" defaultRowHeight="23.25"/>
  <cols>
    <col min="1" max="16384" width="9.140625" style="17"/>
  </cols>
  <sheetData>
    <row r="1" spans="1:12">
      <c r="A1" s="415" t="s">
        <v>178</v>
      </c>
      <c r="B1" s="415"/>
      <c r="C1" s="415"/>
      <c r="D1" s="415"/>
      <c r="E1" s="415"/>
      <c r="F1" s="415"/>
      <c r="G1" s="415"/>
      <c r="H1" s="415"/>
      <c r="I1" s="415"/>
      <c r="J1" s="415"/>
      <c r="K1" s="416"/>
      <c r="L1" s="416"/>
    </row>
    <row r="3" spans="1:12">
      <c r="A3" s="2" t="s">
        <v>179</v>
      </c>
      <c r="K3" s="17" t="s">
        <v>69</v>
      </c>
    </row>
    <row r="5" spans="1:12">
      <c r="A5" s="17" t="s">
        <v>180</v>
      </c>
    </row>
    <row r="6" spans="1:12">
      <c r="A6" s="17" t="s">
        <v>181</v>
      </c>
      <c r="E6" s="17" t="s">
        <v>182</v>
      </c>
      <c r="H6" s="17" t="s">
        <v>183</v>
      </c>
    </row>
    <row r="7" spans="1:12">
      <c r="A7" s="17" t="s">
        <v>184</v>
      </c>
    </row>
    <row r="8" spans="1:12">
      <c r="A8" s="17" t="s">
        <v>185</v>
      </c>
      <c r="J8" s="409" t="s">
        <v>186</v>
      </c>
      <c r="K8" s="409"/>
      <c r="L8" s="410"/>
    </row>
    <row r="9" spans="1:12">
      <c r="J9" s="411" t="s">
        <v>2</v>
      </c>
      <c r="K9" s="411"/>
      <c r="L9" s="412"/>
    </row>
    <row r="10" spans="1:12">
      <c r="B10" s="41" t="s">
        <v>187</v>
      </c>
      <c r="C10" s="42"/>
      <c r="D10" s="42"/>
      <c r="E10" s="42"/>
      <c r="F10" s="42"/>
      <c r="G10" s="42"/>
      <c r="H10" s="63">
        <v>50</v>
      </c>
      <c r="J10" s="413" t="s">
        <v>188</v>
      </c>
      <c r="K10" s="414"/>
      <c r="L10" s="414"/>
    </row>
    <row r="11" spans="1:12">
      <c r="B11" s="41" t="s">
        <v>189</v>
      </c>
      <c r="C11" s="42"/>
      <c r="D11" s="42"/>
      <c r="E11" s="42"/>
      <c r="F11" s="42"/>
      <c r="G11" s="42"/>
      <c r="H11" s="63">
        <v>40</v>
      </c>
    </row>
    <row r="12" spans="1:12">
      <c r="B12" s="41" t="s">
        <v>190</v>
      </c>
      <c r="C12" s="42"/>
      <c r="D12" s="42"/>
      <c r="E12" s="42"/>
      <c r="F12" s="42"/>
      <c r="G12" s="42"/>
      <c r="H12" s="63">
        <v>150</v>
      </c>
    </row>
    <row r="13" spans="1:12">
      <c r="B13" s="41" t="s">
        <v>191</v>
      </c>
      <c r="C13" s="42"/>
      <c r="D13" s="42"/>
      <c r="E13" s="42"/>
      <c r="F13" s="42"/>
      <c r="G13" s="42"/>
      <c r="H13" s="68">
        <f>H12/H11</f>
        <v>3.75</v>
      </c>
    </row>
    <row r="14" spans="1:12">
      <c r="B14" s="41" t="s">
        <v>192</v>
      </c>
      <c r="C14" s="42"/>
      <c r="D14" s="42"/>
      <c r="E14" s="42"/>
      <c r="F14" s="42"/>
      <c r="G14" s="42"/>
      <c r="H14" s="69">
        <f>H11/H10*100</f>
        <v>80</v>
      </c>
    </row>
    <row r="16" spans="1:12">
      <c r="A16" s="17" t="s">
        <v>69</v>
      </c>
      <c r="B16" s="5" t="s">
        <v>193</v>
      </c>
    </row>
    <row r="18" spans="2:13">
      <c r="B18" s="2" t="s">
        <v>320</v>
      </c>
      <c r="L18" s="67">
        <f>H13</f>
        <v>3.75</v>
      </c>
      <c r="M18" s="2" t="s">
        <v>6</v>
      </c>
    </row>
  </sheetData>
  <sheetProtection sheet="1" objects="1" scenarios="1"/>
  <protectedRanges>
    <protectedRange sqref="H10:H12" name="Range1"/>
  </protectedRanges>
  <mergeCells count="4">
    <mergeCell ref="J8:L8"/>
    <mergeCell ref="J9:L9"/>
    <mergeCell ref="J10:L10"/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3"/>
  <sheetViews>
    <sheetView topLeftCell="A7" zoomScale="120" zoomScaleNormal="120" workbookViewId="0">
      <selection activeCell="B23" sqref="B23"/>
    </sheetView>
  </sheetViews>
  <sheetFormatPr defaultColWidth="9.140625" defaultRowHeight="23.25"/>
  <cols>
    <col min="1" max="1" width="61.7109375" style="17" customWidth="1"/>
    <col min="2" max="2" width="9.42578125" style="17" customWidth="1"/>
    <col min="3" max="3" width="12" style="17" customWidth="1"/>
    <col min="4" max="4" width="7.7109375" style="17" customWidth="1"/>
    <col min="5" max="5" width="4.5703125" style="17" customWidth="1"/>
    <col min="6" max="6" width="8.140625" style="17" customWidth="1"/>
    <col min="7" max="7" width="8" style="17" customWidth="1"/>
    <col min="8" max="8" width="6.7109375" style="17" customWidth="1"/>
    <col min="9" max="9" width="6.28515625" style="17" customWidth="1"/>
    <col min="10" max="10" width="8.85546875" style="17" customWidth="1"/>
    <col min="11" max="11" width="8.42578125" style="17" customWidth="1"/>
    <col min="12" max="16384" width="9.140625" style="17"/>
  </cols>
  <sheetData>
    <row r="1" spans="1:12" ht="26.25">
      <c r="A1" s="438" t="s">
        <v>178</v>
      </c>
      <c r="B1" s="438"/>
      <c r="C1" s="438"/>
      <c r="D1" s="60"/>
      <c r="E1" s="60"/>
      <c r="F1" s="60"/>
      <c r="G1" s="60"/>
      <c r="H1" s="60"/>
      <c r="I1" s="60"/>
      <c r="J1" s="60"/>
      <c r="K1" s="60"/>
    </row>
    <row r="2" spans="1:12" ht="27" customHeight="1">
      <c r="A2" s="18"/>
      <c r="B2" s="18"/>
      <c r="C2" s="18"/>
      <c r="D2" s="18"/>
      <c r="E2" s="18"/>
      <c r="F2" s="18"/>
      <c r="L2" s="6"/>
    </row>
    <row r="3" spans="1:12" ht="31.5" customHeight="1">
      <c r="A3" s="19" t="s">
        <v>312</v>
      </c>
      <c r="B3" s="18"/>
      <c r="C3" s="18"/>
      <c r="D3" s="18"/>
      <c r="H3" s="57"/>
    </row>
    <row r="4" spans="1:12">
      <c r="A4" s="20" t="s">
        <v>323</v>
      </c>
      <c r="B4" s="56" t="s">
        <v>194</v>
      </c>
      <c r="C4" s="27"/>
      <c r="D4" s="21"/>
      <c r="E4" s="21"/>
      <c r="F4" s="21"/>
      <c r="G4" s="21"/>
      <c r="H4" s="21"/>
    </row>
    <row r="5" spans="1:12">
      <c r="D5" s="22"/>
      <c r="F5" s="21"/>
      <c r="G5" s="21"/>
      <c r="H5" s="21"/>
      <c r="I5" s="23"/>
      <c r="J5" s="21"/>
      <c r="K5" s="21"/>
    </row>
    <row r="6" spans="1:12" ht="27.75" customHeight="1">
      <c r="A6" s="24" t="s">
        <v>313</v>
      </c>
      <c r="B6" s="70">
        <v>150</v>
      </c>
      <c r="C6" s="25" t="s">
        <v>195</v>
      </c>
      <c r="E6" s="444" t="s">
        <v>186</v>
      </c>
      <c r="F6" s="445"/>
      <c r="G6" s="445"/>
      <c r="H6" s="27"/>
      <c r="I6" s="27"/>
      <c r="J6" s="27"/>
      <c r="K6" s="27"/>
    </row>
    <row r="7" spans="1:12" ht="29.25" customHeight="1">
      <c r="A7" s="28" t="s">
        <v>314</v>
      </c>
      <c r="B7" s="71">
        <v>120</v>
      </c>
      <c r="C7" s="29" t="s">
        <v>195</v>
      </c>
      <c r="E7" s="446" t="s">
        <v>2</v>
      </c>
      <c r="F7" s="447"/>
      <c r="G7" s="447"/>
      <c r="H7" s="15"/>
      <c r="I7" s="15"/>
      <c r="J7" s="15"/>
      <c r="K7" s="15"/>
    </row>
    <row r="8" spans="1:12" ht="26.25" customHeight="1">
      <c r="A8" s="30" t="s">
        <v>315</v>
      </c>
      <c r="B8" s="31">
        <f>B9+B10</f>
        <v>90</v>
      </c>
      <c r="C8" s="25" t="s">
        <v>195</v>
      </c>
      <c r="E8" s="448" t="s">
        <v>188</v>
      </c>
      <c r="F8" s="449"/>
      <c r="G8" s="449"/>
      <c r="H8" s="32"/>
      <c r="I8" s="58"/>
    </row>
    <row r="9" spans="1:12" ht="21.75" customHeight="1">
      <c r="A9" s="30" t="s">
        <v>198</v>
      </c>
      <c r="B9" s="63">
        <v>80</v>
      </c>
      <c r="C9" s="25" t="s">
        <v>195</v>
      </c>
    </row>
    <row r="10" spans="1:12" ht="24.75" customHeight="1">
      <c r="A10" s="35" t="s">
        <v>200</v>
      </c>
      <c r="B10" s="63">
        <v>10</v>
      </c>
      <c r="C10" s="25" t="s">
        <v>195</v>
      </c>
    </row>
    <row r="11" spans="1:12" ht="24.75" customHeight="1">
      <c r="A11" s="35" t="s">
        <v>201</v>
      </c>
      <c r="B11" s="63">
        <v>5</v>
      </c>
      <c r="C11" s="25"/>
    </row>
    <row r="12" spans="1:12" ht="24.75" customHeight="1">
      <c r="A12" s="24" t="s">
        <v>316</v>
      </c>
      <c r="B12" s="63">
        <v>2</v>
      </c>
      <c r="C12" s="25"/>
    </row>
    <row r="13" spans="1:12" ht="24.75" customHeight="1">
      <c r="A13" s="35" t="s">
        <v>203</v>
      </c>
      <c r="B13" s="63">
        <v>3</v>
      </c>
      <c r="C13" s="25"/>
    </row>
    <row r="14" spans="1:12" ht="25.5" customHeight="1">
      <c r="A14" s="35" t="s">
        <v>204</v>
      </c>
      <c r="B14" s="63">
        <v>4</v>
      </c>
      <c r="C14" s="25"/>
    </row>
    <row r="15" spans="1:12" ht="23.25" customHeight="1">
      <c r="A15" s="24" t="s">
        <v>317</v>
      </c>
      <c r="B15" s="63">
        <v>2</v>
      </c>
      <c r="C15" s="25" t="s">
        <v>195</v>
      </c>
    </row>
    <row r="16" spans="1:12" ht="27.75" customHeight="1">
      <c r="A16" s="37" t="s">
        <v>318</v>
      </c>
      <c r="B16" s="38">
        <f>SUM(B17:B18)</f>
        <v>25</v>
      </c>
      <c r="C16" s="25" t="s">
        <v>195</v>
      </c>
      <c r="F16" s="39"/>
      <c r="G16" s="40"/>
      <c r="H16" s="39"/>
      <c r="I16" s="39"/>
      <c r="J16" s="40"/>
    </row>
    <row r="17" spans="1:7">
      <c r="A17" s="24" t="s">
        <v>206</v>
      </c>
      <c r="B17" s="63">
        <v>12</v>
      </c>
      <c r="C17" s="25" t="s">
        <v>195</v>
      </c>
    </row>
    <row r="18" spans="1:7">
      <c r="A18" s="24" t="s">
        <v>208</v>
      </c>
      <c r="B18" s="63">
        <v>13</v>
      </c>
      <c r="C18" s="25" t="s">
        <v>195</v>
      </c>
    </row>
    <row r="19" spans="1:7">
      <c r="A19" s="37" t="s">
        <v>319</v>
      </c>
      <c r="B19" s="70">
        <v>20</v>
      </c>
      <c r="C19" s="25" t="s">
        <v>195</v>
      </c>
    </row>
    <row r="21" spans="1:7">
      <c r="A21" s="26" t="s">
        <v>196</v>
      </c>
      <c r="B21" s="27"/>
      <c r="C21" s="27"/>
      <c r="D21" s="27"/>
      <c r="E21" s="27"/>
      <c r="F21" s="27"/>
      <c r="G21" s="27"/>
    </row>
    <row r="22" spans="1:7">
      <c r="A22" s="15" t="s">
        <v>197</v>
      </c>
      <c r="B22" s="15"/>
      <c r="C22" s="15"/>
      <c r="D22" s="15"/>
      <c r="E22" s="15"/>
      <c r="F22" s="15"/>
      <c r="G22" s="15"/>
    </row>
    <row r="23" spans="1:7">
      <c r="A23" s="436" t="s">
        <v>322</v>
      </c>
      <c r="B23" s="33">
        <f>B8-B10+B11-B12-B13-B14-B15</f>
        <v>74</v>
      </c>
      <c r="C23" s="432" t="s">
        <v>199</v>
      </c>
      <c r="D23" s="434">
        <f>B23/B24*100</f>
        <v>66.666666666666657</v>
      </c>
    </row>
    <row r="24" spans="1:7">
      <c r="A24" s="437"/>
      <c r="B24" s="33">
        <f>B7-B13-B14-B15</f>
        <v>111</v>
      </c>
      <c r="C24" s="433"/>
      <c r="D24" s="435"/>
    </row>
    <row r="26" spans="1:7">
      <c r="A26" s="2" t="s">
        <v>202</v>
      </c>
    </row>
    <row r="27" spans="1:7">
      <c r="A27" s="436" t="s">
        <v>205</v>
      </c>
      <c r="B27" s="36">
        <f>D23</f>
        <v>66.666666666666657</v>
      </c>
      <c r="C27" s="440" t="s">
        <v>199</v>
      </c>
      <c r="D27" s="442">
        <f>B27/B28*5</f>
        <v>3.3333333333333326</v>
      </c>
    </row>
    <row r="28" spans="1:7">
      <c r="A28" s="439"/>
      <c r="B28" s="33">
        <v>100</v>
      </c>
      <c r="C28" s="441"/>
      <c r="D28" s="443"/>
    </row>
    <row r="30" spans="1:7">
      <c r="A30" s="59" t="s">
        <v>207</v>
      </c>
      <c r="B30" s="34">
        <f>B7/B6*100</f>
        <v>80</v>
      </c>
    </row>
    <row r="32" spans="1:7" ht="46.5">
      <c r="A32" s="13" t="s">
        <v>324</v>
      </c>
      <c r="B32" s="34">
        <f>D27</f>
        <v>3.3333333333333326</v>
      </c>
      <c r="C32" s="14" t="s">
        <v>6</v>
      </c>
    </row>
    <row r="35" spans="1:4">
      <c r="A35" s="19" t="s">
        <v>331</v>
      </c>
      <c r="B35" s="18"/>
      <c r="C35" s="18"/>
      <c r="D35" s="18"/>
    </row>
    <row r="36" spans="1:4">
      <c r="A36" s="20" t="s">
        <v>323</v>
      </c>
      <c r="B36" s="56" t="s">
        <v>194</v>
      </c>
      <c r="C36" s="27"/>
      <c r="D36" s="21"/>
    </row>
    <row r="38" spans="1:4">
      <c r="A38" s="65" t="s">
        <v>342</v>
      </c>
      <c r="B38" s="82" t="s">
        <v>332</v>
      </c>
      <c r="C38" s="82" t="s">
        <v>333</v>
      </c>
      <c r="D38" s="83" t="s">
        <v>334</v>
      </c>
    </row>
    <row r="39" spans="1:4">
      <c r="A39" s="73" t="s">
        <v>337</v>
      </c>
      <c r="B39" s="74">
        <v>0.1</v>
      </c>
      <c r="C39" s="87">
        <v>1</v>
      </c>
      <c r="D39" s="72">
        <f>B39*C39</f>
        <v>0.1</v>
      </c>
    </row>
    <row r="40" spans="1:4" ht="22.9" customHeight="1">
      <c r="A40" s="49" t="s">
        <v>338</v>
      </c>
      <c r="B40" s="74">
        <v>0.2</v>
      </c>
      <c r="C40" s="87">
        <v>2</v>
      </c>
      <c r="D40" s="72">
        <f t="shared" ref="D40:D44" si="0">B40*C40</f>
        <v>0.4</v>
      </c>
    </row>
    <row r="41" spans="1:4" ht="147.75">
      <c r="A41" s="49" t="s">
        <v>336</v>
      </c>
      <c r="B41" s="74">
        <v>0.4</v>
      </c>
      <c r="C41" s="87">
        <v>3</v>
      </c>
      <c r="D41" s="72">
        <f t="shared" si="0"/>
        <v>1.2000000000000002</v>
      </c>
    </row>
    <row r="42" spans="1:4">
      <c r="A42" s="73" t="s">
        <v>339</v>
      </c>
      <c r="B42" s="74">
        <v>0.6</v>
      </c>
      <c r="C42" s="87">
        <v>3</v>
      </c>
      <c r="D42" s="72">
        <f t="shared" si="0"/>
        <v>1.7999999999999998</v>
      </c>
    </row>
    <row r="43" spans="1:4" ht="126.75">
      <c r="A43" s="49" t="s">
        <v>340</v>
      </c>
      <c r="B43" s="74">
        <v>0.8</v>
      </c>
      <c r="C43" s="87">
        <v>1</v>
      </c>
      <c r="D43" s="72">
        <f t="shared" si="0"/>
        <v>0.8</v>
      </c>
    </row>
    <row r="44" spans="1:4" ht="105.75">
      <c r="A44" s="49" t="s">
        <v>341</v>
      </c>
      <c r="B44" s="74">
        <v>1</v>
      </c>
      <c r="C44" s="87">
        <v>1</v>
      </c>
      <c r="D44" s="72">
        <f t="shared" si="0"/>
        <v>1</v>
      </c>
    </row>
    <row r="45" spans="1:4">
      <c r="A45" s="423" t="s">
        <v>335</v>
      </c>
      <c r="B45" s="424"/>
      <c r="C45" s="425"/>
      <c r="D45" s="72">
        <f>SUM(D39:D44)</f>
        <v>5.3</v>
      </c>
    </row>
    <row r="48" spans="1:4">
      <c r="A48" s="65" t="s">
        <v>343</v>
      </c>
      <c r="B48" s="82" t="s">
        <v>332</v>
      </c>
      <c r="C48" s="82" t="s">
        <v>333</v>
      </c>
      <c r="D48" s="83" t="s">
        <v>334</v>
      </c>
    </row>
    <row r="49" spans="1:7" ht="43.9" customHeight="1">
      <c r="A49" s="49" t="s">
        <v>344</v>
      </c>
      <c r="B49" s="75">
        <v>0.2</v>
      </c>
      <c r="C49" s="87">
        <v>1</v>
      </c>
      <c r="D49" s="72">
        <f>B49*C49</f>
        <v>0.2</v>
      </c>
    </row>
    <row r="50" spans="1:7">
      <c r="A50" s="49" t="s">
        <v>345</v>
      </c>
      <c r="B50" s="75">
        <v>0.4</v>
      </c>
      <c r="C50" s="87">
        <v>0</v>
      </c>
      <c r="D50" s="72">
        <f>B50*C50</f>
        <v>0</v>
      </c>
    </row>
    <row r="51" spans="1:7">
      <c r="A51" s="49" t="s">
        <v>346</v>
      </c>
      <c r="B51" s="75">
        <v>0.6</v>
      </c>
      <c r="C51" s="87">
        <v>0</v>
      </c>
      <c r="D51" s="72">
        <f>B51*C51</f>
        <v>0</v>
      </c>
    </row>
    <row r="52" spans="1:7">
      <c r="A52" s="49" t="s">
        <v>347</v>
      </c>
      <c r="B52" s="75">
        <v>0.8</v>
      </c>
      <c r="C52" s="87">
        <v>0</v>
      </c>
      <c r="D52" s="72">
        <f>B52*C52</f>
        <v>0</v>
      </c>
    </row>
    <row r="53" spans="1:7">
      <c r="A53" s="49" t="s">
        <v>348</v>
      </c>
      <c r="B53" s="75">
        <v>1</v>
      </c>
      <c r="C53" s="87">
        <v>0</v>
      </c>
      <c r="D53" s="72">
        <f>B53*C53</f>
        <v>0</v>
      </c>
    </row>
    <row r="54" spans="1:7">
      <c r="A54" s="423" t="s">
        <v>349</v>
      </c>
      <c r="B54" s="424"/>
      <c r="C54" s="425"/>
      <c r="D54" s="72">
        <f>SUM(D49:D53)</f>
        <v>0.2</v>
      </c>
    </row>
    <row r="55" spans="1:7">
      <c r="A55" s="76"/>
      <c r="B55" s="84"/>
      <c r="C55" s="84"/>
      <c r="D55" s="77"/>
    </row>
    <row r="56" spans="1:7">
      <c r="A56" s="78" t="s">
        <v>351</v>
      </c>
      <c r="B56" s="70">
        <v>25</v>
      </c>
      <c r="C56" s="17" t="s">
        <v>195</v>
      </c>
    </row>
    <row r="57" spans="1:7">
      <c r="A57" s="17" t="s">
        <v>196</v>
      </c>
    </row>
    <row r="58" spans="1:7">
      <c r="A58" s="17" t="s">
        <v>350</v>
      </c>
    </row>
    <row r="59" spans="1:7">
      <c r="A59" s="426" t="s">
        <v>335</v>
      </c>
      <c r="B59" s="427"/>
      <c r="C59" s="427"/>
      <c r="D59" s="428" t="s">
        <v>352</v>
      </c>
      <c r="E59" s="417" t="s">
        <v>199</v>
      </c>
      <c r="F59" s="430">
        <f>(D45+D54)/B56*100</f>
        <v>22</v>
      </c>
      <c r="G59" s="79" t="s">
        <v>69</v>
      </c>
    </row>
    <row r="60" spans="1:7">
      <c r="A60" s="421" t="s">
        <v>351</v>
      </c>
      <c r="B60" s="422"/>
      <c r="C60" s="422"/>
      <c r="D60" s="429"/>
      <c r="E60" s="418"/>
      <c r="F60" s="431"/>
      <c r="G60" s="85"/>
    </row>
    <row r="62" spans="1:7">
      <c r="A62" s="17" t="s">
        <v>353</v>
      </c>
    </row>
    <row r="63" spans="1:7">
      <c r="A63" s="80" t="s">
        <v>364</v>
      </c>
      <c r="B63" s="69">
        <f>IF(F59/40*5&gt;5,5,F59/40*5)</f>
        <v>2.75</v>
      </c>
    </row>
    <row r="64" spans="1:7">
      <c r="A64" s="86"/>
    </row>
    <row r="65" spans="1:4">
      <c r="A65" s="19" t="s">
        <v>354</v>
      </c>
      <c r="B65" s="18"/>
      <c r="C65" s="18"/>
      <c r="D65" s="18"/>
    </row>
    <row r="66" spans="1:4">
      <c r="A66" s="20" t="s">
        <v>323</v>
      </c>
      <c r="B66" s="56" t="s">
        <v>194</v>
      </c>
      <c r="C66" s="27"/>
      <c r="D66" s="21"/>
    </row>
    <row r="68" spans="1:4">
      <c r="A68" s="65" t="s">
        <v>342</v>
      </c>
      <c r="B68" s="82" t="s">
        <v>332</v>
      </c>
      <c r="C68" s="82" t="s">
        <v>333</v>
      </c>
      <c r="D68" s="83" t="s">
        <v>334</v>
      </c>
    </row>
    <row r="69" spans="1:4" ht="43.9" customHeight="1">
      <c r="A69" s="81" t="s">
        <v>355</v>
      </c>
      <c r="B69" s="74">
        <v>0.2</v>
      </c>
      <c r="C69" s="87">
        <v>2</v>
      </c>
      <c r="D69" s="72">
        <f t="shared" ref="D69:D73" si="1">B69*C69</f>
        <v>0.4</v>
      </c>
    </row>
    <row r="70" spans="1:4" ht="142.15" customHeight="1">
      <c r="A70" s="49" t="s">
        <v>356</v>
      </c>
      <c r="B70" s="74">
        <v>0.4</v>
      </c>
      <c r="C70" s="87">
        <v>2</v>
      </c>
      <c r="D70" s="72">
        <f t="shared" si="1"/>
        <v>0.8</v>
      </c>
    </row>
    <row r="71" spans="1:4">
      <c r="A71" s="73" t="s">
        <v>357</v>
      </c>
      <c r="B71" s="74">
        <v>0.6</v>
      </c>
      <c r="C71" s="87">
        <v>4</v>
      </c>
      <c r="D71" s="72">
        <f t="shared" si="1"/>
        <v>2.4</v>
      </c>
    </row>
    <row r="72" spans="1:4" ht="147.75">
      <c r="A72" s="49" t="s">
        <v>358</v>
      </c>
      <c r="B72" s="74">
        <v>0.8</v>
      </c>
      <c r="C72" s="87">
        <v>4</v>
      </c>
      <c r="D72" s="72">
        <f t="shared" si="1"/>
        <v>3.2</v>
      </c>
    </row>
    <row r="73" spans="1:4" ht="105.75">
      <c r="A73" s="49" t="s">
        <v>359</v>
      </c>
      <c r="B73" s="74">
        <v>1</v>
      </c>
      <c r="C73" s="87">
        <v>5</v>
      </c>
      <c r="D73" s="72">
        <f t="shared" si="1"/>
        <v>5</v>
      </c>
    </row>
    <row r="74" spans="1:4">
      <c r="A74" s="423" t="s">
        <v>360</v>
      </c>
      <c r="B74" s="424"/>
      <c r="C74" s="425"/>
      <c r="D74" s="72">
        <f>SUM(D69:D73)</f>
        <v>11.8</v>
      </c>
    </row>
    <row r="77" spans="1:4">
      <c r="A77" s="65" t="s">
        <v>343</v>
      </c>
      <c r="B77" s="82" t="s">
        <v>332</v>
      </c>
      <c r="C77" s="82" t="s">
        <v>333</v>
      </c>
      <c r="D77" s="83" t="s">
        <v>334</v>
      </c>
    </row>
    <row r="78" spans="1:4" ht="42.6" customHeight="1">
      <c r="A78" s="49" t="s">
        <v>344</v>
      </c>
      <c r="B78" s="75">
        <v>0.2</v>
      </c>
      <c r="C78" s="87">
        <v>1</v>
      </c>
      <c r="D78" s="72">
        <f>B78*C78</f>
        <v>0.2</v>
      </c>
    </row>
    <row r="79" spans="1:4">
      <c r="A79" s="49" t="s">
        <v>345</v>
      </c>
      <c r="B79" s="75">
        <v>0.4</v>
      </c>
      <c r="C79" s="87">
        <v>0</v>
      </c>
      <c r="D79" s="72">
        <f>B79*C79</f>
        <v>0</v>
      </c>
    </row>
    <row r="80" spans="1:4">
      <c r="A80" s="49" t="s">
        <v>346</v>
      </c>
      <c r="B80" s="75">
        <v>0.6</v>
      </c>
      <c r="C80" s="87">
        <v>0</v>
      </c>
      <c r="D80" s="72">
        <f>B80*C80</f>
        <v>0</v>
      </c>
    </row>
    <row r="81" spans="1:7">
      <c r="A81" s="49" t="s">
        <v>347</v>
      </c>
      <c r="B81" s="75">
        <v>0.8</v>
      </c>
      <c r="C81" s="87">
        <v>0</v>
      </c>
      <c r="D81" s="72">
        <f>B81*C81</f>
        <v>0</v>
      </c>
    </row>
    <row r="82" spans="1:7">
      <c r="A82" s="49" t="s">
        <v>348</v>
      </c>
      <c r="B82" s="75">
        <v>1</v>
      </c>
      <c r="C82" s="87">
        <v>0</v>
      </c>
      <c r="D82" s="72">
        <f>B82*C82</f>
        <v>0</v>
      </c>
    </row>
    <row r="83" spans="1:7">
      <c r="A83" s="423" t="s">
        <v>361</v>
      </c>
      <c r="B83" s="424"/>
      <c r="C83" s="425"/>
      <c r="D83" s="72">
        <f>SUM(D78:D82)</f>
        <v>0.2</v>
      </c>
    </row>
    <row r="84" spans="1:7">
      <c r="A84" s="76"/>
      <c r="B84" s="84"/>
      <c r="C84" s="84"/>
      <c r="D84" s="77"/>
    </row>
    <row r="85" spans="1:7">
      <c r="A85" s="78" t="s">
        <v>362</v>
      </c>
      <c r="B85" s="88">
        <v>30</v>
      </c>
      <c r="C85" s="17" t="s">
        <v>195</v>
      </c>
    </row>
    <row r="86" spans="1:7">
      <c r="A86" s="17" t="s">
        <v>196</v>
      </c>
    </row>
    <row r="87" spans="1:7">
      <c r="A87" s="17" t="s">
        <v>350</v>
      </c>
    </row>
    <row r="88" spans="1:7">
      <c r="A88" s="426" t="s">
        <v>360</v>
      </c>
      <c r="B88" s="427"/>
      <c r="C88" s="427"/>
      <c r="D88" s="428" t="s">
        <v>352</v>
      </c>
      <c r="E88" s="417" t="s">
        <v>199</v>
      </c>
      <c r="F88" s="419">
        <f>(D74+D83)/B85*100</f>
        <v>40</v>
      </c>
      <c r="G88" s="79" t="s">
        <v>69</v>
      </c>
    </row>
    <row r="89" spans="1:7">
      <c r="A89" s="421" t="s">
        <v>362</v>
      </c>
      <c r="B89" s="422"/>
      <c r="C89" s="422"/>
      <c r="D89" s="429"/>
      <c r="E89" s="418"/>
      <c r="F89" s="420"/>
      <c r="G89" s="85"/>
    </row>
    <row r="91" spans="1:7">
      <c r="A91" s="17" t="s">
        <v>353</v>
      </c>
    </row>
    <row r="92" spans="1:7">
      <c r="A92" s="80" t="s">
        <v>363</v>
      </c>
      <c r="B92" s="34">
        <f>IF(F88/80*5&gt;5,5,F88/80*5)</f>
        <v>2.5</v>
      </c>
    </row>
    <row r="93" spans="1:7">
      <c r="A93" s="86"/>
    </row>
  </sheetData>
  <sheetProtection sheet="1" objects="1" scenarios="1"/>
  <protectedRanges>
    <protectedRange sqref="B6:B7 B9:B15 B17:B19 C39:C44 C49:C53 B56 C69:C73 C78:C82 B85" name="Range1"/>
  </protectedRanges>
  <mergeCells count="24">
    <mergeCell ref="A1:C1"/>
    <mergeCell ref="A27:A28"/>
    <mergeCell ref="C27:C28"/>
    <mergeCell ref="D27:D28"/>
    <mergeCell ref="E6:G6"/>
    <mergeCell ref="E7:G7"/>
    <mergeCell ref="E8:G8"/>
    <mergeCell ref="A54:C54"/>
    <mergeCell ref="A45:C45"/>
    <mergeCell ref="C23:C24"/>
    <mergeCell ref="D23:D24"/>
    <mergeCell ref="A23:A24"/>
    <mergeCell ref="A59:C59"/>
    <mergeCell ref="A60:C60"/>
    <mergeCell ref="D59:D60"/>
    <mergeCell ref="E59:E60"/>
    <mergeCell ref="F59:F60"/>
    <mergeCell ref="E88:E89"/>
    <mergeCell ref="F88:F89"/>
    <mergeCell ref="A89:C89"/>
    <mergeCell ref="A74:C74"/>
    <mergeCell ref="A83:C83"/>
    <mergeCell ref="A88:C88"/>
    <mergeCell ref="D88:D8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54"/>
  <sheetViews>
    <sheetView zoomScale="120" zoomScaleNormal="120" workbookViewId="0">
      <selection sqref="A1:E1"/>
    </sheetView>
  </sheetViews>
  <sheetFormatPr defaultColWidth="9.140625" defaultRowHeight="23.25"/>
  <cols>
    <col min="1" max="1" width="7" style="17" customWidth="1"/>
    <col min="2" max="2" width="19.85546875" style="17" customWidth="1"/>
    <col min="3" max="3" width="36.28515625" style="17" customWidth="1"/>
    <col min="4" max="4" width="6.85546875" style="17" customWidth="1"/>
    <col min="5" max="5" width="35.42578125" style="17" customWidth="1"/>
    <col min="6" max="6" width="9.140625" style="17"/>
    <col min="7" max="7" width="18.7109375" style="17" customWidth="1"/>
    <col min="8" max="16384" width="9.140625" style="17"/>
  </cols>
  <sheetData>
    <row r="1" spans="1:18">
      <c r="A1" s="450" t="s">
        <v>37</v>
      </c>
      <c r="B1" s="451"/>
      <c r="C1" s="451"/>
      <c r="D1" s="451"/>
      <c r="E1" s="451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3" spans="1:18">
      <c r="A3" s="17" t="s">
        <v>4</v>
      </c>
    </row>
    <row r="4" spans="1:18">
      <c r="B4" s="17" t="s">
        <v>25</v>
      </c>
    </row>
    <row r="5" spans="1:18">
      <c r="B5" s="43" t="s">
        <v>26</v>
      </c>
    </row>
    <row r="7" spans="1:18">
      <c r="A7" s="29" t="s">
        <v>6</v>
      </c>
      <c r="B7" s="44" t="s">
        <v>5</v>
      </c>
      <c r="C7" s="29" t="s">
        <v>7</v>
      </c>
      <c r="D7" s="29" t="s">
        <v>12</v>
      </c>
      <c r="E7" s="45" t="s">
        <v>51</v>
      </c>
    </row>
    <row r="8" spans="1:18">
      <c r="A8" s="460">
        <v>1</v>
      </c>
      <c r="B8" s="452" t="s">
        <v>154</v>
      </c>
      <c r="C8" s="124" t="s">
        <v>9</v>
      </c>
      <c r="D8" s="123" t="s">
        <v>215</v>
      </c>
      <c r="E8" s="46"/>
    </row>
    <row r="9" spans="1:18">
      <c r="A9" s="440"/>
      <c r="B9" s="453"/>
      <c r="C9" s="124" t="s">
        <v>8</v>
      </c>
      <c r="D9" s="123" t="s">
        <v>215</v>
      </c>
      <c r="E9" s="46"/>
    </row>
    <row r="10" spans="1:18" ht="25.15" customHeight="1">
      <c r="A10" s="461"/>
      <c r="B10" s="454"/>
      <c r="C10" s="124" t="s">
        <v>10</v>
      </c>
      <c r="D10" s="123" t="s">
        <v>215</v>
      </c>
      <c r="E10" s="46"/>
    </row>
    <row r="11" spans="1:18" ht="34.5" customHeight="1">
      <c r="A11" s="462">
        <v>2</v>
      </c>
      <c r="B11" s="452" t="s">
        <v>155</v>
      </c>
      <c r="C11" s="124" t="s">
        <v>11</v>
      </c>
      <c r="D11" s="123" t="s">
        <v>215</v>
      </c>
      <c r="E11" s="46"/>
    </row>
    <row r="12" spans="1:18" ht="34.15" customHeight="1">
      <c r="A12" s="463"/>
      <c r="B12" s="453"/>
      <c r="C12" s="124" t="s">
        <v>13</v>
      </c>
      <c r="D12" s="123" t="s">
        <v>215</v>
      </c>
      <c r="E12" s="46"/>
    </row>
    <row r="13" spans="1:18" ht="49.15" customHeight="1">
      <c r="A13" s="464"/>
      <c r="B13" s="454"/>
      <c r="C13" s="124" t="s">
        <v>15</v>
      </c>
      <c r="D13" s="123" t="s">
        <v>215</v>
      </c>
      <c r="E13" s="46"/>
    </row>
    <row r="14" spans="1:18" ht="43.15" customHeight="1">
      <c r="A14" s="460">
        <v>3</v>
      </c>
      <c r="B14" s="452" t="s">
        <v>156</v>
      </c>
      <c r="C14" s="124" t="s">
        <v>16</v>
      </c>
      <c r="D14" s="123" t="s">
        <v>215</v>
      </c>
      <c r="E14" s="46"/>
    </row>
    <row r="15" spans="1:18" ht="63">
      <c r="A15" s="440"/>
      <c r="B15" s="453"/>
      <c r="C15" s="124" t="s">
        <v>17</v>
      </c>
      <c r="D15" s="123" t="s">
        <v>215</v>
      </c>
      <c r="E15" s="46"/>
    </row>
    <row r="16" spans="1:18" ht="42">
      <c r="A16" s="440"/>
      <c r="B16" s="453"/>
      <c r="C16" s="124" t="s">
        <v>18</v>
      </c>
      <c r="D16" s="123" t="s">
        <v>215</v>
      </c>
      <c r="E16" s="46"/>
    </row>
    <row r="17" spans="1:5" ht="42">
      <c r="A17" s="461"/>
      <c r="B17" s="454"/>
      <c r="C17" s="124" t="s">
        <v>19</v>
      </c>
      <c r="D17" s="123" t="s">
        <v>215</v>
      </c>
      <c r="E17" s="46"/>
    </row>
    <row r="18" spans="1:5" ht="69.75">
      <c r="A18" s="126">
        <v>4</v>
      </c>
      <c r="B18" s="127" t="s">
        <v>53</v>
      </c>
      <c r="C18" s="50" t="s">
        <v>396</v>
      </c>
      <c r="D18" s="123" t="s">
        <v>215</v>
      </c>
      <c r="E18" s="46"/>
    </row>
    <row r="19" spans="1:5" ht="23.25" customHeight="1">
      <c r="A19" s="455">
        <v>5</v>
      </c>
      <c r="B19" s="457" t="s">
        <v>55</v>
      </c>
      <c r="C19" s="124" t="s">
        <v>20</v>
      </c>
      <c r="D19" s="123" t="s">
        <v>215</v>
      </c>
      <c r="E19" s="46"/>
    </row>
    <row r="20" spans="1:5" ht="45.75" customHeight="1">
      <c r="A20" s="456"/>
      <c r="B20" s="457"/>
      <c r="C20" s="124" t="s">
        <v>21</v>
      </c>
      <c r="D20" s="123" t="s">
        <v>215</v>
      </c>
      <c r="E20" s="46"/>
    </row>
    <row r="21" spans="1:5">
      <c r="A21" s="456"/>
      <c r="B21" s="458"/>
      <c r="C21" s="124" t="s">
        <v>23</v>
      </c>
      <c r="D21" s="123" t="s">
        <v>215</v>
      </c>
      <c r="E21" s="52"/>
    </row>
    <row r="22" spans="1:5" ht="49.5" customHeight="1">
      <c r="A22" s="456"/>
      <c r="B22" s="458"/>
      <c r="C22" s="124" t="s">
        <v>24</v>
      </c>
      <c r="D22" s="123" t="s">
        <v>215</v>
      </c>
      <c r="E22" s="52"/>
    </row>
    <row r="23" spans="1:5" ht="33.6" customHeight="1">
      <c r="A23" s="456"/>
      <c r="B23" s="459"/>
      <c r="C23" s="125"/>
      <c r="D23" s="123" t="s">
        <v>215</v>
      </c>
      <c r="E23" s="52"/>
    </row>
    <row r="26" spans="1:5">
      <c r="A26" s="17" t="s">
        <v>4</v>
      </c>
    </row>
    <row r="27" spans="1:5">
      <c r="B27" s="17" t="s">
        <v>25</v>
      </c>
    </row>
    <row r="28" spans="1:5">
      <c r="B28" s="43" t="s">
        <v>27</v>
      </c>
    </row>
    <row r="30" spans="1:5" ht="24" customHeight="1">
      <c r="A30" s="29" t="s">
        <v>6</v>
      </c>
      <c r="B30" s="44" t="s">
        <v>5</v>
      </c>
      <c r="C30" s="29" t="s">
        <v>7</v>
      </c>
      <c r="D30" s="29" t="s">
        <v>12</v>
      </c>
      <c r="E30" s="45" t="s">
        <v>51</v>
      </c>
    </row>
    <row r="31" spans="1:5">
      <c r="A31" s="468">
        <v>1</v>
      </c>
      <c r="B31" s="471" t="s">
        <v>154</v>
      </c>
      <c r="C31" s="124" t="s">
        <v>9</v>
      </c>
      <c r="D31" s="123" t="s">
        <v>215</v>
      </c>
      <c r="E31" s="47"/>
    </row>
    <row r="32" spans="1:5">
      <c r="A32" s="469"/>
      <c r="B32" s="472"/>
      <c r="C32" s="124" t="s">
        <v>8</v>
      </c>
      <c r="D32" s="123" t="s">
        <v>215</v>
      </c>
      <c r="E32" s="47"/>
    </row>
    <row r="33" spans="1:5" ht="28.5" customHeight="1">
      <c r="A33" s="470"/>
      <c r="B33" s="473"/>
      <c r="C33" s="124" t="s">
        <v>10</v>
      </c>
      <c r="D33" s="123" t="s">
        <v>215</v>
      </c>
      <c r="E33" s="47"/>
    </row>
    <row r="34" spans="1:5">
      <c r="A34" s="474">
        <v>2</v>
      </c>
      <c r="B34" s="471" t="s">
        <v>155</v>
      </c>
      <c r="C34" s="124" t="s">
        <v>11</v>
      </c>
      <c r="D34" s="123" t="s">
        <v>215</v>
      </c>
      <c r="E34" s="47"/>
    </row>
    <row r="35" spans="1:5">
      <c r="A35" s="475"/>
      <c r="B35" s="477"/>
      <c r="C35" s="124" t="s">
        <v>13</v>
      </c>
      <c r="D35" s="123" t="s">
        <v>215</v>
      </c>
      <c r="E35" s="47"/>
    </row>
    <row r="36" spans="1:5" ht="42">
      <c r="A36" s="476"/>
      <c r="B36" s="478"/>
      <c r="C36" s="124" t="s">
        <v>15</v>
      </c>
      <c r="D36" s="123" t="s">
        <v>215</v>
      </c>
      <c r="E36" s="47"/>
    </row>
    <row r="37" spans="1:5" ht="42">
      <c r="A37" s="468">
        <v>3</v>
      </c>
      <c r="B37" s="471" t="s">
        <v>156</v>
      </c>
      <c r="C37" s="124" t="s">
        <v>16</v>
      </c>
      <c r="D37" s="123" t="s">
        <v>215</v>
      </c>
      <c r="E37" s="47"/>
    </row>
    <row r="38" spans="1:5" ht="23.25" customHeight="1">
      <c r="A38" s="469"/>
      <c r="B38" s="472"/>
      <c r="C38" s="124" t="s">
        <v>17</v>
      </c>
      <c r="D38" s="123" t="s">
        <v>215</v>
      </c>
      <c r="E38" s="47"/>
    </row>
    <row r="39" spans="1:5" ht="45.75" customHeight="1">
      <c r="A39" s="469"/>
      <c r="B39" s="472"/>
      <c r="C39" s="124" t="s">
        <v>18</v>
      </c>
      <c r="D39" s="123" t="s">
        <v>215</v>
      </c>
      <c r="E39" s="47"/>
    </row>
    <row r="40" spans="1:5" ht="42">
      <c r="A40" s="470"/>
      <c r="B40" s="473"/>
      <c r="C40" s="124" t="s">
        <v>19</v>
      </c>
      <c r="D40" s="123" t="s">
        <v>215</v>
      </c>
      <c r="E40" s="47"/>
    </row>
    <row r="41" spans="1:5" ht="49.5" customHeight="1">
      <c r="A41" s="48">
        <v>4</v>
      </c>
      <c r="B41" s="49" t="s">
        <v>53</v>
      </c>
      <c r="C41" s="50" t="s">
        <v>54</v>
      </c>
      <c r="D41" s="123" t="s">
        <v>215</v>
      </c>
      <c r="E41" s="47"/>
    </row>
    <row r="42" spans="1:5">
      <c r="A42" s="465">
        <v>5</v>
      </c>
      <c r="B42" s="466" t="s">
        <v>55</v>
      </c>
      <c r="C42" s="124" t="s">
        <v>20</v>
      </c>
      <c r="D42" s="123" t="s">
        <v>215</v>
      </c>
      <c r="E42" s="47"/>
    </row>
    <row r="43" spans="1:5" ht="42">
      <c r="A43" s="456"/>
      <c r="B43" s="466"/>
      <c r="C43" s="124" t="s">
        <v>21</v>
      </c>
      <c r="D43" s="123" t="s">
        <v>215</v>
      </c>
      <c r="E43" s="47"/>
    </row>
    <row r="44" spans="1:5">
      <c r="A44" s="456"/>
      <c r="B44" s="467"/>
      <c r="C44" s="124" t="s">
        <v>23</v>
      </c>
      <c r="D44" s="123" t="s">
        <v>286</v>
      </c>
      <c r="E44" s="51"/>
    </row>
    <row r="45" spans="1:5" ht="42">
      <c r="A45" s="456"/>
      <c r="B45" s="467"/>
      <c r="C45" s="124" t="s">
        <v>24</v>
      </c>
      <c r="D45" s="123" t="s">
        <v>286</v>
      </c>
      <c r="E45" s="51"/>
    </row>
    <row r="46" spans="1:5">
      <c r="A46" s="456"/>
      <c r="B46" s="456"/>
      <c r="C46" s="125"/>
      <c r="D46" s="123" t="s">
        <v>286</v>
      </c>
      <c r="E46" s="51"/>
    </row>
    <row r="48" spans="1:5">
      <c r="B48" s="2" t="s">
        <v>303</v>
      </c>
      <c r="C48" s="2"/>
      <c r="D48" s="89">
        <v>2</v>
      </c>
      <c r="E48" s="2" t="s">
        <v>6</v>
      </c>
    </row>
    <row r="49" spans="2:6">
      <c r="D49" s="53"/>
      <c r="E49" s="53"/>
      <c r="F49" s="53"/>
    </row>
    <row r="50" spans="2:6">
      <c r="D50" s="53"/>
      <c r="E50" s="53"/>
      <c r="F50" s="53"/>
    </row>
    <row r="51" spans="2:6">
      <c r="B51" s="143" t="s">
        <v>209</v>
      </c>
      <c r="C51" s="143"/>
      <c r="D51" s="53"/>
      <c r="E51" s="53"/>
      <c r="F51" s="53"/>
    </row>
    <row r="52" spans="2:6">
      <c r="B52" s="143" t="s">
        <v>210</v>
      </c>
      <c r="C52" s="143"/>
      <c r="D52" s="53"/>
      <c r="E52" s="53"/>
      <c r="F52" s="53"/>
    </row>
    <row r="53" spans="2:6">
      <c r="B53" s="143" t="s">
        <v>211</v>
      </c>
      <c r="C53" s="143"/>
    </row>
    <row r="54" spans="2:6">
      <c r="B54" s="144" t="s">
        <v>397</v>
      </c>
      <c r="C54" s="145"/>
    </row>
  </sheetData>
  <sheetProtection algorithmName="SHA-512" hashValue="xl9FZh2y3xZHxnVM+QQH/L4BlGZcIl4jK+JDUB+jGvlWGe04weRELSz0+8H4Xkckd/7mdP6fq9aetbNKwBgUtw==" saltValue="Z6nB6KQ2t+CVqCsEmRq4YQ==" spinCount="100000" sheet="1" objects="1" scenarios="1" formatRows="0"/>
  <protectedRanges>
    <protectedRange sqref="C8:E23 C31:E46 D48" name="Range1"/>
  </protectedRanges>
  <mergeCells count="17">
    <mergeCell ref="A42:A46"/>
    <mergeCell ref="B42:B46"/>
    <mergeCell ref="A31:A33"/>
    <mergeCell ref="B31:B33"/>
    <mergeCell ref="A34:A36"/>
    <mergeCell ref="B34:B36"/>
    <mergeCell ref="A37:A40"/>
    <mergeCell ref="B37:B40"/>
    <mergeCell ref="A1:E1"/>
    <mergeCell ref="B11:B13"/>
    <mergeCell ref="B8:B10"/>
    <mergeCell ref="B14:B17"/>
    <mergeCell ref="A19:A23"/>
    <mergeCell ref="B19:B23"/>
    <mergeCell ref="A8:A10"/>
    <mergeCell ref="A11:A13"/>
    <mergeCell ref="A14:A17"/>
  </mergeCells>
  <dataValidations count="2">
    <dataValidation type="list" allowBlank="1" showInputMessage="1" showErrorMessage="1" sqref="D31:D46 D8:D23">
      <formula1>"มี,ไม่มี"</formula1>
    </dataValidation>
    <dataValidation type="list" allowBlank="1" showInputMessage="1" showErrorMessage="1" sqref="D48">
      <formula1>"0,1,2,3,4,5"</formula1>
    </dataValidation>
  </dataValidations>
  <pageMargins left="0.27559055118110237" right="0.23622047244094491" top="0.47244094488188981" bottom="0.669291338582677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23"/>
  <sheetViews>
    <sheetView topLeftCell="A82" zoomScale="170" zoomScaleNormal="170" workbookViewId="0">
      <selection activeCell="L87" sqref="L87"/>
    </sheetView>
  </sheetViews>
  <sheetFormatPr defaultColWidth="9.140625" defaultRowHeight="23.25"/>
  <cols>
    <col min="1" max="1" width="6.7109375" style="17" customWidth="1"/>
    <col min="2" max="2" width="19.85546875" style="17" customWidth="1"/>
    <col min="3" max="3" width="35.5703125" style="17" customWidth="1"/>
    <col min="4" max="4" width="6.85546875" style="17" customWidth="1"/>
    <col min="5" max="5" width="9.28515625" style="17" customWidth="1"/>
    <col min="6" max="6" width="9.42578125" style="17" bestFit="1" customWidth="1"/>
    <col min="7" max="7" width="9.85546875" style="17" customWidth="1"/>
    <col min="8" max="10" width="9.140625" style="17"/>
    <col min="11" max="11" width="6" style="17" customWidth="1"/>
    <col min="12" max="12" width="7" style="17" customWidth="1"/>
    <col min="13" max="13" width="8.28515625" style="17" customWidth="1"/>
    <col min="14" max="14" width="8.140625" style="17" customWidth="1"/>
    <col min="15" max="16384" width="9.140625" style="17"/>
  </cols>
  <sheetData>
    <row r="1" spans="1:18">
      <c r="A1" s="450" t="s">
        <v>37</v>
      </c>
      <c r="B1" s="451"/>
      <c r="C1" s="451"/>
      <c r="D1" s="451"/>
      <c r="E1" s="451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3" spans="1:18">
      <c r="A3" s="17" t="s">
        <v>52</v>
      </c>
    </row>
    <row r="4" spans="1:18">
      <c r="B4" s="17" t="s">
        <v>25</v>
      </c>
    </row>
    <row r="5" spans="1:18">
      <c r="B5" s="43" t="s">
        <v>28</v>
      </c>
    </row>
    <row r="7" spans="1:18">
      <c r="A7" s="29" t="s">
        <v>6</v>
      </c>
      <c r="B7" s="44" t="s">
        <v>5</v>
      </c>
      <c r="C7" s="29" t="s">
        <v>7</v>
      </c>
      <c r="D7" s="29" t="s">
        <v>12</v>
      </c>
      <c r="E7" s="515" t="s">
        <v>51</v>
      </c>
      <c r="F7" s="516"/>
      <c r="G7" s="516"/>
    </row>
    <row r="8" spans="1:18" ht="45.6" customHeight="1">
      <c r="A8" s="468">
        <v>1</v>
      </c>
      <c r="B8" s="512" t="s">
        <v>154</v>
      </c>
      <c r="C8" s="124" t="s">
        <v>34</v>
      </c>
      <c r="D8" s="123" t="s">
        <v>215</v>
      </c>
      <c r="E8" s="507"/>
      <c r="F8" s="508"/>
      <c r="G8" s="508"/>
    </row>
    <row r="9" spans="1:18" ht="56.45" customHeight="1">
      <c r="A9" s="469"/>
      <c r="B9" s="513"/>
      <c r="C9" s="124" t="s">
        <v>35</v>
      </c>
      <c r="D9" s="123" t="s">
        <v>215</v>
      </c>
      <c r="E9" s="507"/>
      <c r="F9" s="508"/>
      <c r="G9" s="508"/>
    </row>
    <row r="10" spans="1:18">
      <c r="A10" s="470"/>
      <c r="B10" s="514"/>
      <c r="C10" s="124"/>
      <c r="D10" s="123" t="s">
        <v>215</v>
      </c>
      <c r="E10" s="507"/>
      <c r="F10" s="508"/>
      <c r="G10" s="508"/>
    </row>
    <row r="11" spans="1:18" ht="23.25" customHeight="1">
      <c r="A11" s="474">
        <v>2</v>
      </c>
      <c r="B11" s="471" t="s">
        <v>155</v>
      </c>
      <c r="C11" s="124"/>
      <c r="D11" s="123" t="s">
        <v>215</v>
      </c>
      <c r="E11" s="507"/>
      <c r="F11" s="508"/>
      <c r="G11" s="508"/>
    </row>
    <row r="12" spans="1:18">
      <c r="A12" s="475"/>
      <c r="B12" s="477"/>
      <c r="C12" s="124"/>
      <c r="D12" s="123" t="s">
        <v>215</v>
      </c>
      <c r="E12" s="507"/>
      <c r="F12" s="508"/>
      <c r="G12" s="508"/>
    </row>
    <row r="13" spans="1:18">
      <c r="A13" s="476"/>
      <c r="B13" s="478"/>
      <c r="C13" s="124"/>
      <c r="D13" s="123" t="s">
        <v>215</v>
      </c>
      <c r="E13" s="507"/>
      <c r="F13" s="508"/>
      <c r="G13" s="508"/>
    </row>
    <row r="14" spans="1:18" ht="23.25" customHeight="1">
      <c r="A14" s="468">
        <v>3</v>
      </c>
      <c r="B14" s="512" t="s">
        <v>14</v>
      </c>
      <c r="C14" s="124"/>
      <c r="D14" s="123" t="s">
        <v>215</v>
      </c>
      <c r="E14" s="507"/>
      <c r="F14" s="508"/>
      <c r="G14" s="508"/>
    </row>
    <row r="15" spans="1:18">
      <c r="A15" s="469"/>
      <c r="B15" s="513"/>
      <c r="C15" s="124"/>
      <c r="D15" s="123" t="s">
        <v>215</v>
      </c>
      <c r="E15" s="507"/>
      <c r="F15" s="508"/>
      <c r="G15" s="508"/>
    </row>
    <row r="16" spans="1:18">
      <c r="A16" s="469"/>
      <c r="B16" s="513"/>
      <c r="C16" s="124"/>
      <c r="D16" s="123" t="s">
        <v>215</v>
      </c>
      <c r="E16" s="507"/>
      <c r="F16" s="508"/>
      <c r="G16" s="508"/>
    </row>
    <row r="17" spans="1:7">
      <c r="A17" s="470"/>
      <c r="B17" s="514"/>
      <c r="C17" s="124"/>
      <c r="D17" s="123" t="s">
        <v>215</v>
      </c>
      <c r="E17" s="507"/>
      <c r="F17" s="508"/>
      <c r="G17" s="508"/>
    </row>
    <row r="18" spans="1:7" ht="42.75">
      <c r="A18" s="101">
        <v>4</v>
      </c>
      <c r="B18" s="49" t="s">
        <v>53</v>
      </c>
      <c r="C18" s="50" t="s">
        <v>54</v>
      </c>
      <c r="D18" s="123" t="s">
        <v>215</v>
      </c>
      <c r="E18" s="507"/>
      <c r="F18" s="508"/>
      <c r="G18" s="508"/>
    </row>
    <row r="19" spans="1:7" ht="35.25" customHeight="1">
      <c r="A19" s="465">
        <v>5</v>
      </c>
      <c r="B19" s="511" t="s">
        <v>55</v>
      </c>
      <c r="C19" s="124" t="s">
        <v>22</v>
      </c>
      <c r="D19" s="123" t="s">
        <v>215</v>
      </c>
      <c r="E19" s="507"/>
      <c r="F19" s="508"/>
      <c r="G19" s="508"/>
    </row>
    <row r="20" spans="1:7" ht="30" customHeight="1">
      <c r="A20" s="456"/>
      <c r="B20" s="456"/>
      <c r="C20" s="124" t="s">
        <v>36</v>
      </c>
      <c r="D20" s="123" t="s">
        <v>215</v>
      </c>
      <c r="E20" s="507"/>
      <c r="F20" s="508"/>
      <c r="G20" s="508"/>
    </row>
    <row r="21" spans="1:7">
      <c r="A21" s="456"/>
      <c r="B21" s="456"/>
      <c r="C21" s="125"/>
      <c r="D21" s="123" t="s">
        <v>215</v>
      </c>
      <c r="E21" s="507"/>
      <c r="F21" s="508"/>
      <c r="G21" s="508"/>
    </row>
    <row r="22" spans="1:7">
      <c r="A22" s="456"/>
      <c r="B22" s="456"/>
      <c r="C22" s="142"/>
      <c r="D22" s="123" t="s">
        <v>215</v>
      </c>
      <c r="E22" s="507"/>
      <c r="F22" s="508"/>
      <c r="G22" s="508"/>
    </row>
    <row r="23" spans="1:7">
      <c r="A23" s="456"/>
      <c r="B23" s="456"/>
      <c r="C23" s="142"/>
      <c r="D23" s="123" t="s">
        <v>215</v>
      </c>
      <c r="E23" s="507"/>
      <c r="F23" s="508"/>
      <c r="G23" s="508"/>
    </row>
    <row r="25" spans="1:7" s="344" customFormat="1"/>
    <row r="26" spans="1:7" s="344" customFormat="1"/>
    <row r="27" spans="1:7" s="344" customFormat="1"/>
    <row r="29" spans="1:7">
      <c r="A29" s="17" t="s">
        <v>52</v>
      </c>
    </row>
    <row r="30" spans="1:7">
      <c r="B30" s="17" t="s">
        <v>25</v>
      </c>
    </row>
    <row r="31" spans="1:7">
      <c r="B31" s="43" t="s">
        <v>29</v>
      </c>
      <c r="C31" s="43"/>
    </row>
    <row r="33" spans="1:7">
      <c r="A33" s="29" t="s">
        <v>6</v>
      </c>
      <c r="B33" s="44" t="s">
        <v>5</v>
      </c>
      <c r="C33" s="29" t="s">
        <v>7</v>
      </c>
      <c r="D33" s="29" t="s">
        <v>12</v>
      </c>
      <c r="E33" s="509" t="s">
        <v>51</v>
      </c>
      <c r="F33" s="510"/>
      <c r="G33" s="510"/>
    </row>
    <row r="34" spans="1:7" ht="42">
      <c r="A34" s="468">
        <v>1</v>
      </c>
      <c r="B34" s="512" t="s">
        <v>154</v>
      </c>
      <c r="C34" s="124" t="s">
        <v>34</v>
      </c>
      <c r="D34" s="123" t="s">
        <v>215</v>
      </c>
      <c r="E34" s="507"/>
      <c r="F34" s="508"/>
      <c r="G34" s="508"/>
    </row>
    <row r="35" spans="1:7" ht="42">
      <c r="A35" s="469"/>
      <c r="B35" s="513"/>
      <c r="C35" s="124" t="s">
        <v>35</v>
      </c>
      <c r="D35" s="123" t="s">
        <v>215</v>
      </c>
      <c r="E35" s="507"/>
      <c r="F35" s="508"/>
      <c r="G35" s="508"/>
    </row>
    <row r="36" spans="1:7">
      <c r="A36" s="470"/>
      <c r="B36" s="514"/>
      <c r="C36" s="124"/>
      <c r="D36" s="123" t="s">
        <v>215</v>
      </c>
      <c r="E36" s="507"/>
      <c r="F36" s="508"/>
      <c r="G36" s="508"/>
    </row>
    <row r="37" spans="1:7" ht="23.25" customHeight="1">
      <c r="A37" s="474">
        <v>2</v>
      </c>
      <c r="B37" s="471" t="s">
        <v>155</v>
      </c>
      <c r="C37" s="124"/>
      <c r="D37" s="123" t="s">
        <v>215</v>
      </c>
      <c r="E37" s="507"/>
      <c r="F37" s="508"/>
      <c r="G37" s="508"/>
    </row>
    <row r="38" spans="1:7">
      <c r="A38" s="475"/>
      <c r="B38" s="477"/>
      <c r="C38" s="124"/>
      <c r="D38" s="123" t="s">
        <v>215</v>
      </c>
      <c r="E38" s="507"/>
      <c r="F38" s="508"/>
      <c r="G38" s="508"/>
    </row>
    <row r="39" spans="1:7">
      <c r="A39" s="476"/>
      <c r="B39" s="478"/>
      <c r="C39" s="124"/>
      <c r="D39" s="123" t="s">
        <v>215</v>
      </c>
      <c r="E39" s="507"/>
      <c r="F39" s="508"/>
      <c r="G39" s="508"/>
    </row>
    <row r="40" spans="1:7" ht="23.25" customHeight="1">
      <c r="A40" s="468">
        <v>3</v>
      </c>
      <c r="B40" s="512" t="s">
        <v>14</v>
      </c>
      <c r="C40" s="124"/>
      <c r="D40" s="123" t="s">
        <v>215</v>
      </c>
      <c r="E40" s="507"/>
      <c r="F40" s="508"/>
      <c r="G40" s="508"/>
    </row>
    <row r="41" spans="1:7">
      <c r="A41" s="469"/>
      <c r="B41" s="513"/>
      <c r="C41" s="124"/>
      <c r="D41" s="123" t="s">
        <v>215</v>
      </c>
      <c r="E41" s="507"/>
      <c r="F41" s="508"/>
      <c r="G41" s="508"/>
    </row>
    <row r="42" spans="1:7">
      <c r="A42" s="469"/>
      <c r="B42" s="513"/>
      <c r="C42" s="124"/>
      <c r="D42" s="123" t="s">
        <v>215</v>
      </c>
      <c r="E42" s="507"/>
      <c r="F42" s="508"/>
      <c r="G42" s="508"/>
    </row>
    <row r="43" spans="1:7">
      <c r="A43" s="470"/>
      <c r="B43" s="514"/>
      <c r="C43" s="124"/>
      <c r="D43" s="123" t="s">
        <v>215</v>
      </c>
      <c r="E43" s="507"/>
      <c r="F43" s="508"/>
      <c r="G43" s="508"/>
    </row>
    <row r="44" spans="1:7" ht="42.75">
      <c r="A44" s="101">
        <v>4</v>
      </c>
      <c r="B44" s="49" t="s">
        <v>53</v>
      </c>
      <c r="C44" s="50" t="s">
        <v>54</v>
      </c>
      <c r="D44" s="123" t="s">
        <v>215</v>
      </c>
      <c r="E44" s="507"/>
      <c r="F44" s="508"/>
      <c r="G44" s="508"/>
    </row>
    <row r="45" spans="1:7" ht="35.25" customHeight="1">
      <c r="A45" s="465">
        <v>5</v>
      </c>
      <c r="B45" s="511" t="s">
        <v>55</v>
      </c>
      <c r="C45" s="124" t="s">
        <v>22</v>
      </c>
      <c r="D45" s="123" t="s">
        <v>215</v>
      </c>
      <c r="E45" s="507"/>
      <c r="F45" s="508"/>
      <c r="G45" s="508"/>
    </row>
    <row r="46" spans="1:7" ht="30" customHeight="1">
      <c r="A46" s="456"/>
      <c r="B46" s="456"/>
      <c r="C46" s="124" t="s">
        <v>36</v>
      </c>
      <c r="D46" s="123" t="s">
        <v>215</v>
      </c>
      <c r="E46" s="507"/>
      <c r="F46" s="508"/>
      <c r="G46" s="508"/>
    </row>
    <row r="47" spans="1:7">
      <c r="A47" s="456"/>
      <c r="B47" s="456"/>
      <c r="C47" s="125"/>
      <c r="D47" s="123" t="s">
        <v>215</v>
      </c>
      <c r="E47" s="507"/>
      <c r="F47" s="508"/>
      <c r="G47" s="508"/>
    </row>
    <row r="48" spans="1:7">
      <c r="A48" s="456"/>
      <c r="B48" s="456"/>
      <c r="C48" s="142"/>
      <c r="D48" s="123" t="s">
        <v>215</v>
      </c>
      <c r="E48" s="507"/>
      <c r="F48" s="508"/>
      <c r="G48" s="508"/>
    </row>
    <row r="49" spans="1:7">
      <c r="A49" s="456"/>
      <c r="B49" s="456"/>
      <c r="C49" s="142"/>
      <c r="D49" s="123" t="s">
        <v>215</v>
      </c>
      <c r="E49" s="507"/>
      <c r="F49" s="508"/>
      <c r="G49" s="508"/>
    </row>
    <row r="51" spans="1:7" s="344" customFormat="1"/>
    <row r="52" spans="1:7" s="344" customFormat="1"/>
    <row r="53" spans="1:7" s="344" customFormat="1"/>
    <row r="54" spans="1:7" s="344" customFormat="1"/>
    <row r="55" spans="1:7" s="344" customFormat="1"/>
    <row r="56" spans="1:7" s="344" customFormat="1"/>
    <row r="58" spans="1:7">
      <c r="A58" s="2" t="s">
        <v>52</v>
      </c>
    </row>
    <row r="59" spans="1:7">
      <c r="B59" s="17" t="s">
        <v>25</v>
      </c>
    </row>
    <row r="60" spans="1:7">
      <c r="B60" s="43" t="s">
        <v>30</v>
      </c>
      <c r="C60" s="43"/>
    </row>
    <row r="62" spans="1:7">
      <c r="A62" s="29" t="s">
        <v>6</v>
      </c>
      <c r="B62" s="44" t="s">
        <v>5</v>
      </c>
      <c r="C62" s="29" t="s">
        <v>7</v>
      </c>
      <c r="D62" s="29" t="s">
        <v>12</v>
      </c>
      <c r="E62" s="509" t="s">
        <v>51</v>
      </c>
      <c r="F62" s="510"/>
      <c r="G62" s="510"/>
    </row>
    <row r="63" spans="1:7" ht="42">
      <c r="A63" s="468">
        <v>1</v>
      </c>
      <c r="B63" s="512" t="s">
        <v>154</v>
      </c>
      <c r="C63" s="128" t="s">
        <v>34</v>
      </c>
      <c r="D63" s="123" t="s">
        <v>215</v>
      </c>
      <c r="E63" s="495"/>
      <c r="F63" s="496"/>
      <c r="G63" s="496"/>
    </row>
    <row r="64" spans="1:7" ht="42">
      <c r="A64" s="469"/>
      <c r="B64" s="513"/>
      <c r="C64" s="128" t="s">
        <v>35</v>
      </c>
      <c r="D64" s="123" t="s">
        <v>215</v>
      </c>
      <c r="E64" s="495"/>
      <c r="F64" s="496"/>
      <c r="G64" s="496"/>
    </row>
    <row r="65" spans="1:14">
      <c r="A65" s="470"/>
      <c r="B65" s="514"/>
      <c r="C65" s="128"/>
      <c r="D65" s="123" t="s">
        <v>215</v>
      </c>
      <c r="E65" s="495"/>
      <c r="F65" s="496"/>
      <c r="G65" s="496"/>
    </row>
    <row r="66" spans="1:14" ht="23.25" customHeight="1">
      <c r="A66" s="474">
        <v>2</v>
      </c>
      <c r="B66" s="471" t="s">
        <v>155</v>
      </c>
      <c r="C66" s="128"/>
      <c r="D66" s="123" t="s">
        <v>215</v>
      </c>
      <c r="E66" s="495"/>
      <c r="F66" s="496"/>
      <c r="G66" s="496"/>
    </row>
    <row r="67" spans="1:14">
      <c r="A67" s="475"/>
      <c r="B67" s="477"/>
      <c r="C67" s="128"/>
      <c r="D67" s="123" t="s">
        <v>215</v>
      </c>
      <c r="E67" s="495"/>
      <c r="F67" s="496"/>
      <c r="G67" s="496"/>
    </row>
    <row r="68" spans="1:14">
      <c r="A68" s="476"/>
      <c r="B68" s="478"/>
      <c r="C68" s="128"/>
      <c r="D68" s="123" t="s">
        <v>215</v>
      </c>
      <c r="E68" s="495"/>
      <c r="F68" s="496"/>
      <c r="G68" s="496"/>
    </row>
    <row r="69" spans="1:14" ht="23.25" customHeight="1">
      <c r="A69" s="468">
        <v>3</v>
      </c>
      <c r="B69" s="512" t="s">
        <v>14</v>
      </c>
      <c r="C69" s="128"/>
      <c r="D69" s="123" t="s">
        <v>215</v>
      </c>
      <c r="E69" s="495"/>
      <c r="F69" s="496"/>
      <c r="G69" s="496"/>
    </row>
    <row r="70" spans="1:14">
      <c r="A70" s="469"/>
      <c r="B70" s="513"/>
      <c r="C70" s="128"/>
      <c r="D70" s="123" t="s">
        <v>215</v>
      </c>
      <c r="E70" s="495"/>
      <c r="F70" s="496"/>
      <c r="G70" s="496"/>
    </row>
    <row r="71" spans="1:14">
      <c r="A71" s="469"/>
      <c r="B71" s="513"/>
      <c r="C71" s="128"/>
      <c r="D71" s="123" t="s">
        <v>215</v>
      </c>
      <c r="E71" s="495"/>
      <c r="F71" s="496"/>
      <c r="G71" s="496"/>
    </row>
    <row r="72" spans="1:14">
      <c r="A72" s="470"/>
      <c r="B72" s="514"/>
      <c r="C72" s="128"/>
      <c r="D72" s="123" t="s">
        <v>215</v>
      </c>
      <c r="E72" s="495"/>
      <c r="F72" s="496"/>
      <c r="G72" s="496"/>
    </row>
    <row r="73" spans="1:14" ht="42.75">
      <c r="A73" s="101">
        <v>4</v>
      </c>
      <c r="B73" s="49" t="s">
        <v>53</v>
      </c>
      <c r="C73" s="129" t="s">
        <v>54</v>
      </c>
      <c r="D73" s="123" t="s">
        <v>215</v>
      </c>
      <c r="E73" s="495"/>
      <c r="F73" s="496"/>
      <c r="G73" s="496"/>
    </row>
    <row r="74" spans="1:14" ht="35.25" customHeight="1">
      <c r="A74" s="465">
        <v>5</v>
      </c>
      <c r="B74" s="511" t="s">
        <v>55</v>
      </c>
      <c r="C74" s="128" t="s">
        <v>22</v>
      </c>
      <c r="D74" s="123" t="s">
        <v>215</v>
      </c>
      <c r="E74" s="495"/>
      <c r="F74" s="496"/>
      <c r="G74" s="496"/>
    </row>
    <row r="75" spans="1:14" ht="30" customHeight="1">
      <c r="A75" s="456"/>
      <c r="B75" s="456"/>
      <c r="C75" s="128" t="s">
        <v>36</v>
      </c>
      <c r="D75" s="123" t="s">
        <v>215</v>
      </c>
      <c r="E75" s="495"/>
      <c r="F75" s="496"/>
      <c r="G75" s="496"/>
    </row>
    <row r="76" spans="1:14">
      <c r="A76" s="456"/>
      <c r="B76" s="456"/>
      <c r="C76" s="130"/>
      <c r="D76" s="123" t="s">
        <v>215</v>
      </c>
      <c r="E76" s="495"/>
      <c r="F76" s="496"/>
      <c r="G76" s="496"/>
    </row>
    <row r="77" spans="1:14">
      <c r="A77" s="456"/>
      <c r="B77" s="456"/>
      <c r="C77" s="131"/>
      <c r="D77" s="123" t="s">
        <v>215</v>
      </c>
      <c r="E77" s="495"/>
      <c r="F77" s="496"/>
      <c r="G77" s="496"/>
      <c r="I77" s="503" t="s">
        <v>209</v>
      </c>
      <c r="J77" s="504"/>
      <c r="K77" s="504"/>
      <c r="L77" s="504"/>
      <c r="M77" s="504"/>
      <c r="N77" s="504"/>
    </row>
    <row r="78" spans="1:14">
      <c r="A78" s="456"/>
      <c r="B78" s="456"/>
      <c r="C78" s="131"/>
      <c r="D78" s="123" t="s">
        <v>215</v>
      </c>
      <c r="E78" s="495"/>
      <c r="F78" s="496"/>
      <c r="G78" s="496"/>
      <c r="I78" s="503" t="s">
        <v>210</v>
      </c>
      <c r="J78" s="504"/>
      <c r="K78" s="504"/>
      <c r="L78" s="504"/>
      <c r="M78" s="504"/>
      <c r="N78" s="504"/>
    </row>
    <row r="79" spans="1:14">
      <c r="I79" s="503" t="s">
        <v>211</v>
      </c>
      <c r="J79" s="504"/>
      <c r="K79" s="504"/>
      <c r="L79" s="504"/>
      <c r="M79" s="504"/>
      <c r="N79" s="504"/>
    </row>
    <row r="80" spans="1:14">
      <c r="A80" s="2" t="s">
        <v>311</v>
      </c>
      <c r="C80" s="2"/>
      <c r="D80" s="133">
        <v>5</v>
      </c>
      <c r="E80" s="2" t="s">
        <v>6</v>
      </c>
      <c r="I80" s="505" t="s">
        <v>397</v>
      </c>
      <c r="J80" s="506"/>
      <c r="K80" s="506"/>
      <c r="L80" s="506"/>
      <c r="M80" s="506"/>
      <c r="N80" s="506"/>
    </row>
    <row r="81" spans="1:13" s="344" customFormat="1">
      <c r="A81" s="2"/>
      <c r="C81" s="2"/>
      <c r="D81" s="133"/>
      <c r="E81" s="2"/>
    </row>
    <row r="83" spans="1:13" ht="36" customHeight="1">
      <c r="A83" s="500" t="s">
        <v>378</v>
      </c>
      <c r="B83" s="500"/>
      <c r="C83" s="500"/>
      <c r="D83" s="500"/>
      <c r="E83" s="500"/>
      <c r="F83" s="500"/>
      <c r="G83" s="500"/>
      <c r="H83" s="500"/>
      <c r="I83" s="500"/>
      <c r="J83" s="500"/>
      <c r="K83" s="500"/>
      <c r="L83" s="500"/>
      <c r="M83" s="500"/>
    </row>
    <row r="85" spans="1:13" ht="31.15" customHeight="1">
      <c r="A85" s="501" t="s">
        <v>222</v>
      </c>
      <c r="B85" s="501" t="s">
        <v>365</v>
      </c>
      <c r="C85" s="501" t="s">
        <v>366</v>
      </c>
      <c r="D85" s="497" t="s">
        <v>367</v>
      </c>
      <c r="E85" s="497"/>
      <c r="F85" s="498" t="s">
        <v>370</v>
      </c>
      <c r="G85" s="499" t="s">
        <v>371</v>
      </c>
      <c r="H85" s="498" t="s">
        <v>372</v>
      </c>
      <c r="I85" s="498"/>
      <c r="J85" s="498"/>
      <c r="K85" s="497" t="s">
        <v>367</v>
      </c>
      <c r="L85" s="497"/>
      <c r="M85" s="499" t="s">
        <v>370</v>
      </c>
    </row>
    <row r="86" spans="1:13" ht="28.9" customHeight="1">
      <c r="A86" s="502"/>
      <c r="B86" s="502"/>
      <c r="C86" s="502"/>
      <c r="D86" s="136" t="s">
        <v>368</v>
      </c>
      <c r="E86" s="136" t="s">
        <v>369</v>
      </c>
      <c r="F86" s="498"/>
      <c r="G86" s="499"/>
      <c r="H86" s="498"/>
      <c r="I86" s="498"/>
      <c r="J86" s="498"/>
      <c r="K86" s="343" t="s">
        <v>368</v>
      </c>
      <c r="L86" s="343" t="s">
        <v>369</v>
      </c>
      <c r="M86" s="499"/>
    </row>
    <row r="87" spans="1:13" ht="46.5">
      <c r="A87" s="137">
        <v>1</v>
      </c>
      <c r="B87" s="125" t="s">
        <v>373</v>
      </c>
      <c r="C87" s="125" t="s">
        <v>570</v>
      </c>
      <c r="D87" s="138">
        <v>3</v>
      </c>
      <c r="E87" s="138">
        <v>4</v>
      </c>
      <c r="F87" s="68">
        <f>IF(D87="",0,D87*E87)</f>
        <v>12</v>
      </c>
      <c r="G87" s="346" t="s">
        <v>571</v>
      </c>
      <c r="H87" s="492" t="s">
        <v>572</v>
      </c>
      <c r="I87" s="493"/>
      <c r="J87" s="494"/>
      <c r="K87" s="138">
        <v>2</v>
      </c>
      <c r="L87" s="138">
        <v>3</v>
      </c>
      <c r="M87" s="68">
        <f>IF(K87="",0,K87*L87)</f>
        <v>6</v>
      </c>
    </row>
    <row r="88" spans="1:13" ht="42">
      <c r="A88" s="140"/>
      <c r="B88" s="125"/>
      <c r="C88" s="125"/>
      <c r="D88" s="138">
        <v>0</v>
      </c>
      <c r="E88" s="138">
        <v>0</v>
      </c>
      <c r="F88" s="68">
        <f>IF(D88="",0,D88*E88)</f>
        <v>0</v>
      </c>
      <c r="G88" s="346" t="s">
        <v>377</v>
      </c>
      <c r="H88" s="492"/>
      <c r="I88" s="493"/>
      <c r="J88" s="494"/>
      <c r="K88" s="138">
        <v>1</v>
      </c>
      <c r="L88" s="138">
        <v>1</v>
      </c>
      <c r="M88" s="68">
        <f t="shared" ref="M88:M104" si="0">IF(K88="",0,K88*L88)</f>
        <v>1</v>
      </c>
    </row>
    <row r="89" spans="1:13" ht="42">
      <c r="A89" s="140"/>
      <c r="B89" s="125"/>
      <c r="C89" s="125"/>
      <c r="D89" s="138">
        <v>0</v>
      </c>
      <c r="E89" s="138">
        <v>1</v>
      </c>
      <c r="F89" s="68">
        <f t="shared" ref="F89:F104" si="1">IF(D89="",0,D89*E89)</f>
        <v>0</v>
      </c>
      <c r="G89" s="346" t="s">
        <v>377</v>
      </c>
      <c r="H89" s="492"/>
      <c r="I89" s="493"/>
      <c r="J89" s="494"/>
      <c r="K89" s="138">
        <v>0</v>
      </c>
      <c r="L89" s="138">
        <v>0</v>
      </c>
      <c r="M89" s="68">
        <f t="shared" si="0"/>
        <v>0</v>
      </c>
    </row>
    <row r="90" spans="1:13" ht="46.5">
      <c r="A90" s="137">
        <v>2</v>
      </c>
      <c r="B90" s="125" t="s">
        <v>374</v>
      </c>
      <c r="C90" s="125"/>
      <c r="D90" s="138">
        <v>1</v>
      </c>
      <c r="E90" s="138">
        <v>1</v>
      </c>
      <c r="F90" s="68">
        <f t="shared" si="1"/>
        <v>1</v>
      </c>
      <c r="G90" s="346" t="s">
        <v>377</v>
      </c>
      <c r="H90" s="492"/>
      <c r="I90" s="493"/>
      <c r="J90" s="494"/>
      <c r="K90" s="138">
        <v>1</v>
      </c>
      <c r="L90" s="138">
        <v>1</v>
      </c>
      <c r="M90" s="68">
        <f t="shared" si="0"/>
        <v>1</v>
      </c>
    </row>
    <row r="91" spans="1:13" ht="42">
      <c r="A91" s="140"/>
      <c r="B91" s="125"/>
      <c r="C91" s="125"/>
      <c r="D91" s="138">
        <v>1</v>
      </c>
      <c r="E91" s="138">
        <v>1</v>
      </c>
      <c r="F91" s="68">
        <f t="shared" si="1"/>
        <v>1</v>
      </c>
      <c r="G91" s="346" t="s">
        <v>377</v>
      </c>
      <c r="H91" s="492"/>
      <c r="I91" s="493"/>
      <c r="J91" s="494"/>
      <c r="K91" s="138">
        <v>1</v>
      </c>
      <c r="L91" s="138">
        <v>1</v>
      </c>
      <c r="M91" s="68">
        <f t="shared" si="0"/>
        <v>1</v>
      </c>
    </row>
    <row r="92" spans="1:13" ht="42">
      <c r="A92" s="140"/>
      <c r="B92" s="125"/>
      <c r="C92" s="125"/>
      <c r="D92" s="138">
        <v>1</v>
      </c>
      <c r="E92" s="138">
        <v>1</v>
      </c>
      <c r="F92" s="68">
        <f t="shared" si="1"/>
        <v>1</v>
      </c>
      <c r="G92" s="346" t="s">
        <v>377</v>
      </c>
      <c r="H92" s="492"/>
      <c r="I92" s="493"/>
      <c r="J92" s="494"/>
      <c r="K92" s="138">
        <v>1</v>
      </c>
      <c r="L92" s="138">
        <v>1</v>
      </c>
      <c r="M92" s="68">
        <f t="shared" si="0"/>
        <v>1</v>
      </c>
    </row>
    <row r="93" spans="1:13" ht="46.5">
      <c r="A93" s="137">
        <v>3</v>
      </c>
      <c r="B93" s="125" t="s">
        <v>375</v>
      </c>
      <c r="C93" s="125"/>
      <c r="D93" s="138">
        <v>1</v>
      </c>
      <c r="E93" s="138">
        <v>1</v>
      </c>
      <c r="F93" s="68">
        <f t="shared" si="1"/>
        <v>1</v>
      </c>
      <c r="G93" s="346" t="s">
        <v>377</v>
      </c>
      <c r="H93" s="492"/>
      <c r="I93" s="493"/>
      <c r="J93" s="494"/>
      <c r="K93" s="138">
        <v>1</v>
      </c>
      <c r="L93" s="138">
        <v>1</v>
      </c>
      <c r="M93" s="68">
        <f t="shared" si="0"/>
        <v>1</v>
      </c>
    </row>
    <row r="94" spans="1:13" ht="42">
      <c r="A94" s="140"/>
      <c r="B94" s="125"/>
      <c r="C94" s="125"/>
      <c r="D94" s="138">
        <v>1</v>
      </c>
      <c r="E94" s="138">
        <v>1</v>
      </c>
      <c r="F94" s="68">
        <f t="shared" si="1"/>
        <v>1</v>
      </c>
      <c r="G94" s="346" t="s">
        <v>377</v>
      </c>
      <c r="H94" s="492"/>
      <c r="I94" s="493"/>
      <c r="J94" s="494"/>
      <c r="K94" s="138">
        <v>1</v>
      </c>
      <c r="L94" s="138">
        <v>1</v>
      </c>
      <c r="M94" s="68">
        <f t="shared" si="0"/>
        <v>1</v>
      </c>
    </row>
    <row r="95" spans="1:13" ht="42">
      <c r="A95" s="140"/>
      <c r="B95" s="125"/>
      <c r="C95" s="125"/>
      <c r="D95" s="138">
        <v>1</v>
      </c>
      <c r="E95" s="138">
        <v>1</v>
      </c>
      <c r="F95" s="68">
        <f t="shared" si="1"/>
        <v>1</v>
      </c>
      <c r="G95" s="346" t="s">
        <v>377</v>
      </c>
      <c r="H95" s="492"/>
      <c r="I95" s="493"/>
      <c r="J95" s="494"/>
      <c r="K95" s="138">
        <v>1</v>
      </c>
      <c r="L95" s="138">
        <v>1</v>
      </c>
      <c r="M95" s="68">
        <f t="shared" si="0"/>
        <v>1</v>
      </c>
    </row>
    <row r="96" spans="1:13" ht="42">
      <c r="A96" s="141">
        <v>4</v>
      </c>
      <c r="B96" s="125"/>
      <c r="C96" s="125"/>
      <c r="D96" s="138">
        <v>1</v>
      </c>
      <c r="E96" s="138">
        <v>1</v>
      </c>
      <c r="F96" s="68">
        <f t="shared" si="1"/>
        <v>1</v>
      </c>
      <c r="G96" s="346" t="s">
        <v>377</v>
      </c>
      <c r="H96" s="492"/>
      <c r="I96" s="493"/>
      <c r="J96" s="494"/>
      <c r="K96" s="138">
        <v>1</v>
      </c>
      <c r="L96" s="138">
        <v>1</v>
      </c>
      <c r="M96" s="68">
        <f t="shared" si="0"/>
        <v>1</v>
      </c>
    </row>
    <row r="97" spans="1:15" ht="42">
      <c r="A97" s="140"/>
      <c r="B97" s="125"/>
      <c r="C97" s="125"/>
      <c r="D97" s="138">
        <v>1</v>
      </c>
      <c r="E97" s="138">
        <v>1</v>
      </c>
      <c r="F97" s="68">
        <f t="shared" si="1"/>
        <v>1</v>
      </c>
      <c r="G97" s="346" t="s">
        <v>377</v>
      </c>
      <c r="H97" s="492"/>
      <c r="I97" s="493"/>
      <c r="J97" s="494"/>
      <c r="K97" s="138">
        <v>1</v>
      </c>
      <c r="L97" s="138">
        <v>1</v>
      </c>
      <c r="M97" s="68">
        <f t="shared" si="0"/>
        <v>1</v>
      </c>
    </row>
    <row r="98" spans="1:15" ht="42">
      <c r="A98" s="140"/>
      <c r="B98" s="125"/>
      <c r="C98" s="125"/>
      <c r="D98" s="138">
        <v>1</v>
      </c>
      <c r="E98" s="138">
        <v>1</v>
      </c>
      <c r="F98" s="68">
        <f t="shared" si="1"/>
        <v>1</v>
      </c>
      <c r="G98" s="346" t="s">
        <v>377</v>
      </c>
      <c r="H98" s="492"/>
      <c r="I98" s="493"/>
      <c r="J98" s="494"/>
      <c r="K98" s="138">
        <v>1</v>
      </c>
      <c r="L98" s="138">
        <v>1</v>
      </c>
      <c r="M98" s="68">
        <f t="shared" si="0"/>
        <v>1</v>
      </c>
    </row>
    <row r="99" spans="1:15" ht="42">
      <c r="A99" s="137">
        <v>5</v>
      </c>
      <c r="B99" s="125"/>
      <c r="C99" s="125"/>
      <c r="D99" s="138">
        <v>1</v>
      </c>
      <c r="E99" s="138">
        <v>1</v>
      </c>
      <c r="F99" s="68">
        <f t="shared" si="1"/>
        <v>1</v>
      </c>
      <c r="G99" s="346" t="s">
        <v>377</v>
      </c>
      <c r="H99" s="492"/>
      <c r="I99" s="493"/>
      <c r="J99" s="494"/>
      <c r="K99" s="138">
        <v>1</v>
      </c>
      <c r="L99" s="138">
        <v>1</v>
      </c>
      <c r="M99" s="68">
        <f t="shared" si="0"/>
        <v>1</v>
      </c>
    </row>
    <row r="100" spans="1:15" ht="42">
      <c r="A100" s="140"/>
      <c r="B100" s="125"/>
      <c r="C100" s="125"/>
      <c r="D100" s="138">
        <v>1</v>
      </c>
      <c r="E100" s="138">
        <v>1</v>
      </c>
      <c r="F100" s="68">
        <f t="shared" si="1"/>
        <v>1</v>
      </c>
      <c r="G100" s="346" t="s">
        <v>377</v>
      </c>
      <c r="H100" s="492"/>
      <c r="I100" s="493"/>
      <c r="J100" s="494"/>
      <c r="K100" s="138">
        <v>1</v>
      </c>
      <c r="L100" s="138">
        <v>1</v>
      </c>
      <c r="M100" s="68">
        <f t="shared" si="0"/>
        <v>1</v>
      </c>
    </row>
    <row r="101" spans="1:15" ht="42">
      <c r="A101" s="140"/>
      <c r="B101" s="125"/>
      <c r="C101" s="125"/>
      <c r="D101" s="138">
        <v>1</v>
      </c>
      <c r="E101" s="138">
        <v>1</v>
      </c>
      <c r="F101" s="68">
        <f t="shared" si="1"/>
        <v>1</v>
      </c>
      <c r="G101" s="346" t="s">
        <v>377</v>
      </c>
      <c r="H101" s="492"/>
      <c r="I101" s="493"/>
      <c r="J101" s="494"/>
      <c r="K101" s="138">
        <v>1</v>
      </c>
      <c r="L101" s="138">
        <v>1</v>
      </c>
      <c r="M101" s="68">
        <f t="shared" si="0"/>
        <v>1</v>
      </c>
    </row>
    <row r="102" spans="1:15" ht="42">
      <c r="A102" s="137">
        <v>6</v>
      </c>
      <c r="B102" s="125"/>
      <c r="C102" s="125"/>
      <c r="D102" s="138">
        <v>0</v>
      </c>
      <c r="E102" s="138">
        <v>1</v>
      </c>
      <c r="F102" s="68">
        <f t="shared" si="1"/>
        <v>0</v>
      </c>
      <c r="G102" s="346" t="s">
        <v>377</v>
      </c>
      <c r="H102" s="492"/>
      <c r="I102" s="493"/>
      <c r="J102" s="494"/>
      <c r="K102" s="138">
        <v>1</v>
      </c>
      <c r="L102" s="138">
        <v>1</v>
      </c>
      <c r="M102" s="68">
        <f t="shared" si="0"/>
        <v>1</v>
      </c>
    </row>
    <row r="103" spans="1:15" ht="42">
      <c r="A103" s="140"/>
      <c r="B103" s="125"/>
      <c r="C103" s="125"/>
      <c r="D103" s="138">
        <v>0</v>
      </c>
      <c r="E103" s="138">
        <v>1</v>
      </c>
      <c r="F103" s="68">
        <f t="shared" si="1"/>
        <v>0</v>
      </c>
      <c r="G103" s="346" t="s">
        <v>377</v>
      </c>
      <c r="H103" s="492"/>
      <c r="I103" s="493"/>
      <c r="J103" s="494"/>
      <c r="K103" s="138">
        <v>0</v>
      </c>
      <c r="L103" s="138">
        <v>0</v>
      </c>
      <c r="M103" s="68">
        <f t="shared" si="0"/>
        <v>0</v>
      </c>
    </row>
    <row r="104" spans="1:15" ht="42">
      <c r="A104" s="140"/>
      <c r="B104" s="125"/>
      <c r="C104" s="125"/>
      <c r="D104" s="138">
        <v>0</v>
      </c>
      <c r="E104" s="138">
        <v>0</v>
      </c>
      <c r="F104" s="68">
        <f t="shared" si="1"/>
        <v>0</v>
      </c>
      <c r="G104" s="346" t="s">
        <v>377</v>
      </c>
      <c r="H104" s="492"/>
      <c r="I104" s="493"/>
      <c r="J104" s="494"/>
      <c r="K104" s="138">
        <v>0</v>
      </c>
      <c r="L104" s="138">
        <v>0</v>
      </c>
      <c r="M104" s="68">
        <f t="shared" si="0"/>
        <v>0</v>
      </c>
    </row>
    <row r="106" spans="1:15" ht="26.25">
      <c r="A106" s="344"/>
      <c r="B106" s="479" t="s">
        <v>542</v>
      </c>
      <c r="C106" s="480"/>
      <c r="D106" s="344"/>
      <c r="E106" s="344"/>
      <c r="F106" s="344"/>
      <c r="G106" s="344"/>
      <c r="H106" s="344"/>
      <c r="I106" s="344"/>
      <c r="J106" s="344"/>
      <c r="K106" s="344"/>
      <c r="L106" s="344"/>
      <c r="M106" s="344"/>
      <c r="N106" s="344"/>
      <c r="O106" s="344"/>
    </row>
    <row r="107" spans="1:15" ht="27" thickBot="1">
      <c r="A107" s="344"/>
      <c r="B107" s="2" t="s">
        <v>489</v>
      </c>
      <c r="C107" s="344"/>
      <c r="D107" s="344"/>
      <c r="E107" s="344"/>
      <c r="F107" s="345" t="s">
        <v>509</v>
      </c>
      <c r="G107" s="344"/>
      <c r="H107" s="344"/>
      <c r="I107" s="344"/>
      <c r="J107" s="344"/>
      <c r="K107" s="345" t="s">
        <v>510</v>
      </c>
      <c r="L107" s="344"/>
      <c r="M107" s="344"/>
      <c r="N107" s="344"/>
      <c r="O107" s="344"/>
    </row>
    <row r="108" spans="1:15" ht="57" thickBot="1">
      <c r="A108" s="345" t="s">
        <v>503</v>
      </c>
      <c r="B108" s="347" t="s">
        <v>490</v>
      </c>
      <c r="C108" s="361" t="s">
        <v>491</v>
      </c>
      <c r="D108" s="348" t="s">
        <v>492</v>
      </c>
      <c r="E108" s="2"/>
      <c r="F108" s="487" t="s">
        <v>490</v>
      </c>
      <c r="G108" s="482"/>
      <c r="H108" s="349" t="s">
        <v>491</v>
      </c>
      <c r="I108" s="350" t="s">
        <v>492</v>
      </c>
      <c r="J108" s="2"/>
      <c r="K108" s="490" t="s">
        <v>490</v>
      </c>
      <c r="L108" s="491"/>
      <c r="M108" s="351" t="s">
        <v>491</v>
      </c>
      <c r="N108" s="347" t="s">
        <v>492</v>
      </c>
      <c r="O108" s="344"/>
    </row>
    <row r="109" spans="1:15" ht="28.9" customHeight="1" thickBot="1">
      <c r="A109" s="344"/>
      <c r="B109" s="360" t="s">
        <v>493</v>
      </c>
      <c r="C109" s="359" t="s">
        <v>494</v>
      </c>
      <c r="D109" s="359">
        <v>5</v>
      </c>
      <c r="E109" s="2"/>
      <c r="F109" s="488" t="s">
        <v>504</v>
      </c>
      <c r="G109" s="489"/>
      <c r="H109" s="356" t="s">
        <v>494</v>
      </c>
      <c r="I109" s="356">
        <v>5</v>
      </c>
      <c r="J109" s="2"/>
      <c r="K109" s="483" t="s">
        <v>511</v>
      </c>
      <c r="L109" s="484"/>
      <c r="M109" s="356" t="s">
        <v>494</v>
      </c>
      <c r="N109" s="356">
        <v>5</v>
      </c>
      <c r="O109" s="344"/>
    </row>
    <row r="110" spans="1:15" ht="32.450000000000003" customHeight="1" thickBot="1">
      <c r="A110" s="344"/>
      <c r="B110" s="360" t="s">
        <v>495</v>
      </c>
      <c r="C110" s="359" t="s">
        <v>496</v>
      </c>
      <c r="D110" s="359">
        <v>4</v>
      </c>
      <c r="E110" s="2"/>
      <c r="F110" s="488" t="s">
        <v>505</v>
      </c>
      <c r="G110" s="489"/>
      <c r="H110" s="356" t="s">
        <v>496</v>
      </c>
      <c r="I110" s="356">
        <v>4</v>
      </c>
      <c r="J110" s="2"/>
      <c r="K110" s="483" t="s">
        <v>512</v>
      </c>
      <c r="L110" s="484"/>
      <c r="M110" s="356" t="s">
        <v>496</v>
      </c>
      <c r="N110" s="356">
        <v>4</v>
      </c>
      <c r="O110" s="344"/>
    </row>
    <row r="111" spans="1:15" ht="47.25" thickBot="1">
      <c r="A111" s="344"/>
      <c r="B111" s="360" t="s">
        <v>497</v>
      </c>
      <c r="C111" s="359" t="s">
        <v>498</v>
      </c>
      <c r="D111" s="359">
        <v>3</v>
      </c>
      <c r="E111" s="2"/>
      <c r="F111" s="488" t="s">
        <v>506</v>
      </c>
      <c r="G111" s="489"/>
      <c r="H111" s="356" t="s">
        <v>498</v>
      </c>
      <c r="I111" s="356">
        <v>3</v>
      </c>
      <c r="J111" s="2"/>
      <c r="K111" s="483" t="s">
        <v>513</v>
      </c>
      <c r="L111" s="484"/>
      <c r="M111" s="356" t="s">
        <v>498</v>
      </c>
      <c r="N111" s="356">
        <v>3</v>
      </c>
      <c r="O111" s="344"/>
    </row>
    <row r="112" spans="1:15" ht="24" thickBot="1">
      <c r="A112" s="344"/>
      <c r="B112" s="360" t="s">
        <v>499</v>
      </c>
      <c r="C112" s="359" t="s">
        <v>500</v>
      </c>
      <c r="D112" s="359">
        <v>2</v>
      </c>
      <c r="E112" s="2"/>
      <c r="F112" s="488" t="s">
        <v>507</v>
      </c>
      <c r="G112" s="489"/>
      <c r="H112" s="356" t="s">
        <v>500</v>
      </c>
      <c r="I112" s="356">
        <v>2</v>
      </c>
      <c r="J112" s="2"/>
      <c r="K112" s="483" t="s">
        <v>514</v>
      </c>
      <c r="L112" s="484"/>
      <c r="M112" s="356" t="s">
        <v>500</v>
      </c>
      <c r="N112" s="356">
        <v>2</v>
      </c>
      <c r="O112" s="344"/>
    </row>
    <row r="113" spans="1:15" ht="33.6" customHeight="1" thickBot="1">
      <c r="A113" s="344"/>
      <c r="B113" s="360" t="s">
        <v>501</v>
      </c>
      <c r="C113" s="359" t="s">
        <v>502</v>
      </c>
      <c r="D113" s="359">
        <v>1</v>
      </c>
      <c r="E113" s="2"/>
      <c r="F113" s="488" t="s">
        <v>508</v>
      </c>
      <c r="G113" s="489"/>
      <c r="H113" s="356" t="s">
        <v>502</v>
      </c>
      <c r="I113" s="356">
        <v>1</v>
      </c>
      <c r="J113" s="2"/>
      <c r="K113" s="483" t="s">
        <v>515</v>
      </c>
      <c r="L113" s="484"/>
      <c r="M113" s="356" t="s">
        <v>502</v>
      </c>
      <c r="N113" s="356">
        <v>1</v>
      </c>
      <c r="O113" s="344"/>
    </row>
    <row r="114" spans="1:15">
      <c r="A114" s="344"/>
      <c r="B114" s="344"/>
      <c r="C114" s="344"/>
      <c r="D114" s="344"/>
      <c r="E114" s="344"/>
      <c r="F114" s="344"/>
      <c r="G114" s="344"/>
      <c r="H114" s="344"/>
      <c r="I114" s="344"/>
      <c r="J114" s="344"/>
      <c r="K114" s="344"/>
      <c r="L114" s="344"/>
      <c r="M114" s="344"/>
      <c r="N114" s="344"/>
      <c r="O114" s="344"/>
    </row>
    <row r="115" spans="1:15" ht="27" thickBot="1">
      <c r="A115" s="344"/>
      <c r="B115" s="2" t="s">
        <v>516</v>
      </c>
      <c r="C115" s="344"/>
      <c r="D115" s="344"/>
      <c r="E115" s="344"/>
      <c r="F115" s="345" t="s">
        <v>534</v>
      </c>
      <c r="G115" s="344"/>
      <c r="H115" s="344"/>
      <c r="I115" s="344"/>
      <c r="J115" s="344"/>
      <c r="K115" s="345" t="s">
        <v>535</v>
      </c>
      <c r="L115" s="344"/>
      <c r="M115" s="344"/>
      <c r="N115" s="344"/>
      <c r="O115" s="344"/>
    </row>
    <row r="116" spans="1:15" ht="47.25" thickBot="1">
      <c r="A116" s="345" t="s">
        <v>517</v>
      </c>
      <c r="B116" s="352" t="s">
        <v>369</v>
      </c>
      <c r="C116" s="353" t="s">
        <v>518</v>
      </c>
      <c r="D116" s="348" t="s">
        <v>492</v>
      </c>
      <c r="E116" s="2"/>
      <c r="F116" s="347" t="s">
        <v>369</v>
      </c>
      <c r="G116" s="481" t="s">
        <v>518</v>
      </c>
      <c r="H116" s="482"/>
      <c r="I116" s="347" t="s">
        <v>492</v>
      </c>
      <c r="J116" s="2"/>
      <c r="K116" s="349" t="s">
        <v>541</v>
      </c>
      <c r="L116" s="481" t="s">
        <v>518</v>
      </c>
      <c r="M116" s="482"/>
      <c r="N116" s="347" t="s">
        <v>492</v>
      </c>
      <c r="O116" s="344"/>
    </row>
    <row r="117" spans="1:15" ht="48.6" customHeight="1" thickBot="1">
      <c r="A117" s="344"/>
      <c r="B117" s="357" t="s">
        <v>519</v>
      </c>
      <c r="C117" s="358" t="s">
        <v>528</v>
      </c>
      <c r="D117" s="359">
        <v>5</v>
      </c>
      <c r="E117" s="2"/>
      <c r="F117" s="356" t="s">
        <v>519</v>
      </c>
      <c r="G117" s="483" t="s">
        <v>529</v>
      </c>
      <c r="H117" s="484"/>
      <c r="I117" s="356">
        <v>5</v>
      </c>
      <c r="J117" s="2"/>
      <c r="K117" s="356" t="s">
        <v>519</v>
      </c>
      <c r="L117" s="485" t="s">
        <v>536</v>
      </c>
      <c r="M117" s="486"/>
      <c r="N117" s="356">
        <v>5</v>
      </c>
      <c r="O117" s="344"/>
    </row>
    <row r="118" spans="1:15" ht="37.9" customHeight="1" thickBot="1">
      <c r="A118" s="344"/>
      <c r="B118" s="357" t="s">
        <v>520</v>
      </c>
      <c r="C118" s="358" t="s">
        <v>527</v>
      </c>
      <c r="D118" s="359">
        <v>4</v>
      </c>
      <c r="E118" s="2"/>
      <c r="F118" s="356" t="s">
        <v>520</v>
      </c>
      <c r="G118" s="483" t="s">
        <v>530</v>
      </c>
      <c r="H118" s="484"/>
      <c r="I118" s="356">
        <v>4</v>
      </c>
      <c r="J118" s="2"/>
      <c r="K118" s="356" t="s">
        <v>520</v>
      </c>
      <c r="L118" s="485" t="s">
        <v>537</v>
      </c>
      <c r="M118" s="486"/>
      <c r="N118" s="356">
        <v>4</v>
      </c>
      <c r="O118" s="344"/>
    </row>
    <row r="119" spans="1:15" ht="52.15" customHeight="1" thickBot="1">
      <c r="A119" s="344"/>
      <c r="B119" s="357" t="s">
        <v>521</v>
      </c>
      <c r="C119" s="358" t="s">
        <v>526</v>
      </c>
      <c r="D119" s="359">
        <v>3</v>
      </c>
      <c r="E119" s="2"/>
      <c r="F119" s="356" t="s">
        <v>521</v>
      </c>
      <c r="G119" s="483" t="s">
        <v>531</v>
      </c>
      <c r="H119" s="484"/>
      <c r="I119" s="356">
        <v>3</v>
      </c>
      <c r="J119" s="2"/>
      <c r="K119" s="356" t="s">
        <v>521</v>
      </c>
      <c r="L119" s="485" t="s">
        <v>538</v>
      </c>
      <c r="M119" s="486"/>
      <c r="N119" s="356">
        <v>3</v>
      </c>
      <c r="O119" s="344"/>
    </row>
    <row r="120" spans="1:15" ht="49.15" customHeight="1" thickBot="1">
      <c r="A120" s="344"/>
      <c r="B120" s="357" t="s">
        <v>522</v>
      </c>
      <c r="C120" s="358" t="s">
        <v>523</v>
      </c>
      <c r="D120" s="359">
        <v>2</v>
      </c>
      <c r="E120" s="2"/>
      <c r="F120" s="356" t="s">
        <v>522</v>
      </c>
      <c r="G120" s="483" t="s">
        <v>532</v>
      </c>
      <c r="H120" s="484"/>
      <c r="I120" s="356">
        <v>2</v>
      </c>
      <c r="J120" s="2"/>
      <c r="K120" s="356" t="s">
        <v>522</v>
      </c>
      <c r="L120" s="485" t="s">
        <v>539</v>
      </c>
      <c r="M120" s="486"/>
      <c r="N120" s="356">
        <v>2</v>
      </c>
      <c r="O120" s="344"/>
    </row>
    <row r="121" spans="1:15" ht="36" customHeight="1" thickBot="1">
      <c r="A121" s="344"/>
      <c r="B121" s="357" t="s">
        <v>524</v>
      </c>
      <c r="C121" s="358" t="s">
        <v>525</v>
      </c>
      <c r="D121" s="359">
        <v>1</v>
      </c>
      <c r="E121" s="2"/>
      <c r="F121" s="356" t="s">
        <v>524</v>
      </c>
      <c r="G121" s="483" t="s">
        <v>533</v>
      </c>
      <c r="H121" s="484"/>
      <c r="I121" s="356">
        <v>1</v>
      </c>
      <c r="J121" s="2"/>
      <c r="K121" s="356" t="s">
        <v>524</v>
      </c>
      <c r="L121" s="485" t="s">
        <v>540</v>
      </c>
      <c r="M121" s="486"/>
      <c r="N121" s="356">
        <v>1</v>
      </c>
      <c r="O121" s="344"/>
    </row>
    <row r="122" spans="1:15">
      <c r="A122" s="344"/>
      <c r="B122" s="344"/>
      <c r="C122" s="344"/>
      <c r="D122" s="344"/>
      <c r="E122" s="344"/>
      <c r="F122" s="344"/>
      <c r="G122" s="344"/>
      <c r="H122" s="344"/>
      <c r="I122" s="344"/>
      <c r="J122" s="344"/>
      <c r="K122" s="344"/>
      <c r="L122" s="344"/>
      <c r="M122" s="344"/>
      <c r="N122" s="344"/>
      <c r="O122" s="344"/>
    </row>
    <row r="123" spans="1:15">
      <c r="A123" s="344"/>
      <c r="B123" s="344"/>
      <c r="C123" s="344"/>
      <c r="D123" s="344"/>
      <c r="E123" s="344"/>
      <c r="F123" s="344"/>
      <c r="G123" s="344"/>
      <c r="H123" s="344"/>
      <c r="I123" s="344"/>
      <c r="J123" s="344"/>
      <c r="K123" s="344"/>
      <c r="L123" s="344"/>
      <c r="M123" s="344"/>
      <c r="N123" s="344"/>
      <c r="O123" s="344"/>
    </row>
  </sheetData>
  <sheetProtection sheet="1" objects="1" scenarios="1" formatRows="0"/>
  <protectedRanges>
    <protectedRange sqref="C8:G23 C34:G49 C63:G78 D80:D81 B87:E104 G87:L104" name="Range1"/>
  </protectedRanges>
  <mergeCells count="133">
    <mergeCell ref="A34:A36"/>
    <mergeCell ref="B34:B36"/>
    <mergeCell ref="A37:A39"/>
    <mergeCell ref="B37:B39"/>
    <mergeCell ref="A40:A43"/>
    <mergeCell ref="B40:B43"/>
    <mergeCell ref="A69:A72"/>
    <mergeCell ref="B69:B72"/>
    <mergeCell ref="A74:A78"/>
    <mergeCell ref="B74:B78"/>
    <mergeCell ref="A45:A49"/>
    <mergeCell ref="B45:B49"/>
    <mergeCell ref="A63:A65"/>
    <mergeCell ref="B63:B65"/>
    <mergeCell ref="A66:A68"/>
    <mergeCell ref="B66:B68"/>
    <mergeCell ref="A1:E1"/>
    <mergeCell ref="B19:B23"/>
    <mergeCell ref="A19:A23"/>
    <mergeCell ref="A8:A10"/>
    <mergeCell ref="A11:A13"/>
    <mergeCell ref="A14:A17"/>
    <mergeCell ref="B8:B10"/>
    <mergeCell ref="B11:B13"/>
    <mergeCell ref="B14:B17"/>
    <mergeCell ref="E7:G7"/>
    <mergeCell ref="E8:G8"/>
    <mergeCell ref="E9:G9"/>
    <mergeCell ref="E10:G10"/>
    <mergeCell ref="E11:G11"/>
    <mergeCell ref="E12:G12"/>
    <mergeCell ref="E13:G13"/>
    <mergeCell ref="E19:G19"/>
    <mergeCell ref="E20:G20"/>
    <mergeCell ref="E21:G21"/>
    <mergeCell ref="E22:G22"/>
    <mergeCell ref="E23:G23"/>
    <mergeCell ref="E14:G14"/>
    <mergeCell ref="E15:G15"/>
    <mergeCell ref="E16:G16"/>
    <mergeCell ref="E17:G17"/>
    <mergeCell ref="E18:G18"/>
    <mergeCell ref="E38:G38"/>
    <mergeCell ref="E39:G39"/>
    <mergeCell ref="E40:G40"/>
    <mergeCell ref="E41:G41"/>
    <mergeCell ref="E42:G42"/>
    <mergeCell ref="E33:G33"/>
    <mergeCell ref="E34:G34"/>
    <mergeCell ref="E35:G35"/>
    <mergeCell ref="E36:G36"/>
    <mergeCell ref="E37:G37"/>
    <mergeCell ref="E48:G48"/>
    <mergeCell ref="E49:G49"/>
    <mergeCell ref="E62:G62"/>
    <mergeCell ref="E63:G63"/>
    <mergeCell ref="E64:G64"/>
    <mergeCell ref="E43:G43"/>
    <mergeCell ref="E44:G44"/>
    <mergeCell ref="E45:G45"/>
    <mergeCell ref="E46:G46"/>
    <mergeCell ref="E47:G47"/>
    <mergeCell ref="E70:G70"/>
    <mergeCell ref="E71:G71"/>
    <mergeCell ref="E72:G72"/>
    <mergeCell ref="E73:G73"/>
    <mergeCell ref="E74:G74"/>
    <mergeCell ref="E65:G65"/>
    <mergeCell ref="E66:G66"/>
    <mergeCell ref="E67:G67"/>
    <mergeCell ref="E68:G68"/>
    <mergeCell ref="E69:G69"/>
    <mergeCell ref="E75:G75"/>
    <mergeCell ref="E76:G76"/>
    <mergeCell ref="E77:G77"/>
    <mergeCell ref="E78:G78"/>
    <mergeCell ref="D85:E85"/>
    <mergeCell ref="F85:F86"/>
    <mergeCell ref="G85:G86"/>
    <mergeCell ref="A83:M83"/>
    <mergeCell ref="H85:J86"/>
    <mergeCell ref="K85:L85"/>
    <mergeCell ref="M85:M86"/>
    <mergeCell ref="A85:A86"/>
    <mergeCell ref="B85:B86"/>
    <mergeCell ref="C85:C86"/>
    <mergeCell ref="I77:N77"/>
    <mergeCell ref="I78:N78"/>
    <mergeCell ref="I80:N80"/>
    <mergeCell ref="I79:N79"/>
    <mergeCell ref="K113:L113"/>
    <mergeCell ref="H93:J93"/>
    <mergeCell ref="H94:J94"/>
    <mergeCell ref="H95:J95"/>
    <mergeCell ref="H96:J96"/>
    <mergeCell ref="H87:J87"/>
    <mergeCell ref="H88:J88"/>
    <mergeCell ref="H89:J89"/>
    <mergeCell ref="H90:J90"/>
    <mergeCell ref="H91:J91"/>
    <mergeCell ref="H102:J102"/>
    <mergeCell ref="H103:J103"/>
    <mergeCell ref="H104:J104"/>
    <mergeCell ref="H97:J97"/>
    <mergeCell ref="H98:J98"/>
    <mergeCell ref="H99:J99"/>
    <mergeCell ref="H100:J100"/>
    <mergeCell ref="H101:J101"/>
    <mergeCell ref="H92:J92"/>
    <mergeCell ref="B106:C106"/>
    <mergeCell ref="G116:H116"/>
    <mergeCell ref="G117:H117"/>
    <mergeCell ref="G118:H118"/>
    <mergeCell ref="G119:H119"/>
    <mergeCell ref="G120:H120"/>
    <mergeCell ref="G121:H121"/>
    <mergeCell ref="L116:M116"/>
    <mergeCell ref="L117:M117"/>
    <mergeCell ref="L118:M118"/>
    <mergeCell ref="L119:M119"/>
    <mergeCell ref="L120:M120"/>
    <mergeCell ref="L121:M121"/>
    <mergeCell ref="F108:G108"/>
    <mergeCell ref="F109:G109"/>
    <mergeCell ref="F110:G110"/>
    <mergeCell ref="F111:G111"/>
    <mergeCell ref="F112:G112"/>
    <mergeCell ref="F113:G113"/>
    <mergeCell ref="K108:L108"/>
    <mergeCell ref="K109:L109"/>
    <mergeCell ref="K110:L110"/>
    <mergeCell ref="K111:L111"/>
    <mergeCell ref="K112:L112"/>
  </mergeCells>
  <dataValidations count="3">
    <dataValidation type="list" allowBlank="1" showInputMessage="1" showErrorMessage="1" sqref="D63:D78 D8:D23 D34:D49">
      <formula1>"มี,ไม่มี"</formula1>
    </dataValidation>
    <dataValidation type="list" allowBlank="1" showInputMessage="1" showErrorMessage="1" sqref="D80:D81 D87:E104 K87:L104">
      <formula1>"0,1,2,3,4,5"</formula1>
    </dataValidation>
    <dataValidation type="list" allowBlank="1" showInputMessage="1" showErrorMessage="1" sqref="G87:G104">
      <formula1>"หลีกเลี่ยงความเสี่ยง,ควบคุมความเสี่ยง,รับความเสี่ยง,ถ่ายโอนความเสี่ยง"</formula1>
    </dataValidation>
  </dataValidations>
  <pageMargins left="0.33" right="0.2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35"/>
  <sheetViews>
    <sheetView topLeftCell="A41" zoomScale="90" zoomScaleNormal="90" workbookViewId="0">
      <selection activeCell="B10" sqref="B10:B12"/>
    </sheetView>
  </sheetViews>
  <sheetFormatPr defaultColWidth="9.140625" defaultRowHeight="23.25"/>
  <cols>
    <col min="1" max="1" width="6.5703125" style="17" customWidth="1"/>
    <col min="2" max="2" width="23" style="17" customWidth="1"/>
    <col min="3" max="3" width="37.28515625" style="17" customWidth="1"/>
    <col min="4" max="4" width="6.28515625" style="17" customWidth="1"/>
    <col min="5" max="5" width="31.5703125" style="17" customWidth="1"/>
    <col min="6" max="6" width="6.5703125" style="17" customWidth="1"/>
    <col min="7" max="7" width="6.85546875" style="17" customWidth="1"/>
    <col min="8" max="8" width="5.7109375" style="17" customWidth="1"/>
    <col min="9" max="9" width="6.5703125" style="17" customWidth="1"/>
    <col min="10" max="10" width="6.85546875" style="17" customWidth="1"/>
    <col min="11" max="11" width="6.7109375" style="17" customWidth="1"/>
    <col min="12" max="12" width="7" style="17" customWidth="1"/>
    <col min="13" max="13" width="7.28515625" style="17" customWidth="1"/>
    <col min="14" max="14" width="7.5703125" style="17" customWidth="1"/>
    <col min="15" max="16" width="6.85546875" style="17" customWidth="1"/>
    <col min="17" max="17" width="6.42578125" style="17" customWidth="1"/>
    <col min="18" max="18" width="11.5703125" style="17" customWidth="1"/>
    <col min="19" max="19" width="11.85546875" style="17" customWidth="1"/>
    <col min="20" max="16384" width="9.140625" style="17"/>
  </cols>
  <sheetData>
    <row r="1" spans="1:21">
      <c r="A1" s="450" t="s">
        <v>37</v>
      </c>
      <c r="B1" s="451"/>
      <c r="C1" s="451"/>
      <c r="D1" s="451"/>
      <c r="E1" s="451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1" ht="22.5" customHeight="1">
      <c r="C2" s="146"/>
    </row>
    <row r="3" spans="1:21">
      <c r="A3" s="2" t="s">
        <v>0</v>
      </c>
    </row>
    <row r="4" spans="1:21">
      <c r="A4" s="2"/>
      <c r="B4" s="147" t="s">
        <v>25</v>
      </c>
      <c r="E4" s="148" t="s">
        <v>1</v>
      </c>
      <c r="F4" s="117"/>
    </row>
    <row r="5" spans="1:21">
      <c r="A5" s="2"/>
      <c r="B5" s="43" t="s">
        <v>31</v>
      </c>
      <c r="E5" s="149" t="s">
        <v>2</v>
      </c>
      <c r="F5" s="117"/>
      <c r="R5" s="150"/>
      <c r="S5" s="150"/>
    </row>
    <row r="6" spans="1:21">
      <c r="A6" s="2"/>
      <c r="B6" s="43" t="s">
        <v>32</v>
      </c>
      <c r="E6" s="151" t="s">
        <v>3</v>
      </c>
      <c r="F6" s="117"/>
      <c r="R6" s="150"/>
      <c r="S6" s="150"/>
    </row>
    <row r="7" spans="1:21">
      <c r="A7" s="2"/>
      <c r="B7" s="43" t="s">
        <v>33</v>
      </c>
      <c r="R7" s="150"/>
      <c r="S7" s="150"/>
    </row>
    <row r="9" spans="1:21" ht="23.25" customHeight="1">
      <c r="A9" s="45" t="s">
        <v>6</v>
      </c>
      <c r="B9" s="152" t="s">
        <v>5</v>
      </c>
      <c r="C9" s="45" t="s">
        <v>7</v>
      </c>
      <c r="D9" s="45" t="s">
        <v>12</v>
      </c>
      <c r="E9" s="45" t="s">
        <v>51</v>
      </c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</row>
    <row r="10" spans="1:21" ht="33" customHeight="1">
      <c r="A10" s="468">
        <v>1</v>
      </c>
      <c r="B10" s="471" t="s">
        <v>38</v>
      </c>
      <c r="C10" s="124" t="s">
        <v>44</v>
      </c>
      <c r="D10" s="123" t="s">
        <v>215</v>
      </c>
      <c r="E10" s="154"/>
      <c r="H10" s="517"/>
      <c r="T10" s="517"/>
      <c r="U10" s="517"/>
    </row>
    <row r="11" spans="1:21" ht="24.75" customHeight="1">
      <c r="A11" s="469"/>
      <c r="B11" s="472"/>
      <c r="C11" s="124" t="s">
        <v>45</v>
      </c>
      <c r="D11" s="123" t="s">
        <v>215</v>
      </c>
      <c r="E11" s="154"/>
    </row>
    <row r="12" spans="1:21" ht="27" customHeight="1">
      <c r="A12" s="470"/>
      <c r="B12" s="473"/>
      <c r="C12" s="124" t="s">
        <v>46</v>
      </c>
      <c r="D12" s="123" t="s">
        <v>215</v>
      </c>
      <c r="E12" s="154"/>
    </row>
    <row r="13" spans="1:21" ht="23.25" hidden="1" customHeight="1">
      <c r="A13" s="468">
        <v>2</v>
      </c>
      <c r="B13" s="471" t="s">
        <v>40</v>
      </c>
      <c r="C13" s="124" t="s">
        <v>39</v>
      </c>
      <c r="D13" s="123" t="s">
        <v>215</v>
      </c>
      <c r="E13" s="154"/>
    </row>
    <row r="14" spans="1:21" ht="23.25" customHeight="1">
      <c r="A14" s="469"/>
      <c r="B14" s="472"/>
      <c r="C14" s="124" t="s">
        <v>44</v>
      </c>
      <c r="D14" s="123" t="s">
        <v>215</v>
      </c>
      <c r="E14" s="154"/>
    </row>
    <row r="15" spans="1:21" ht="23.25" customHeight="1">
      <c r="A15" s="469"/>
      <c r="B15" s="472"/>
      <c r="C15" s="124" t="s">
        <v>50</v>
      </c>
      <c r="D15" s="123" t="s">
        <v>215</v>
      </c>
      <c r="E15" s="154"/>
    </row>
    <row r="16" spans="1:21" ht="24" customHeight="1">
      <c r="A16" s="470"/>
      <c r="B16" s="473"/>
      <c r="C16" s="124" t="s">
        <v>46</v>
      </c>
      <c r="D16" s="123" t="s">
        <v>215</v>
      </c>
      <c r="E16" s="154"/>
    </row>
    <row r="17" spans="1:5">
      <c r="A17" s="468">
        <v>3</v>
      </c>
      <c r="B17" s="471" t="s">
        <v>41</v>
      </c>
      <c r="C17" s="124" t="s">
        <v>47</v>
      </c>
      <c r="D17" s="123" t="s">
        <v>215</v>
      </c>
      <c r="E17" s="154"/>
    </row>
    <row r="18" spans="1:5" ht="27" customHeight="1">
      <c r="A18" s="469"/>
      <c r="B18" s="472"/>
      <c r="C18" s="124" t="s">
        <v>49</v>
      </c>
      <c r="D18" s="123" t="s">
        <v>215</v>
      </c>
      <c r="E18" s="154"/>
    </row>
    <row r="19" spans="1:5" ht="42">
      <c r="A19" s="470"/>
      <c r="B19" s="473"/>
      <c r="C19" s="124" t="s">
        <v>48</v>
      </c>
      <c r="D19" s="123" t="s">
        <v>215</v>
      </c>
      <c r="E19" s="154"/>
    </row>
    <row r="20" spans="1:5">
      <c r="A20" s="468">
        <v>4</v>
      </c>
      <c r="B20" s="471" t="s">
        <v>42</v>
      </c>
      <c r="C20" s="196" t="s">
        <v>445</v>
      </c>
      <c r="D20" s="123" t="s">
        <v>215</v>
      </c>
      <c r="E20" s="154"/>
    </row>
    <row r="21" spans="1:5">
      <c r="A21" s="469"/>
      <c r="B21" s="472"/>
      <c r="C21" s="196" t="s">
        <v>446</v>
      </c>
      <c r="D21" s="123" t="s">
        <v>215</v>
      </c>
      <c r="E21" s="154"/>
    </row>
    <row r="22" spans="1:5" ht="42">
      <c r="A22" s="470"/>
      <c r="B22" s="473"/>
      <c r="C22" s="196" t="s">
        <v>447</v>
      </c>
      <c r="D22" s="123" t="s">
        <v>215</v>
      </c>
      <c r="E22" s="154"/>
    </row>
    <row r="23" spans="1:5">
      <c r="A23" s="465">
        <v>5</v>
      </c>
      <c r="B23" s="466" t="s">
        <v>56</v>
      </c>
      <c r="C23" s="124" t="s">
        <v>22</v>
      </c>
      <c r="D23" s="123" t="s">
        <v>286</v>
      </c>
      <c r="E23" s="154"/>
    </row>
    <row r="24" spans="1:5">
      <c r="A24" s="518"/>
      <c r="B24" s="467"/>
      <c r="C24" s="124" t="s">
        <v>43</v>
      </c>
      <c r="D24" s="123" t="s">
        <v>215</v>
      </c>
      <c r="E24" s="142"/>
    </row>
    <row r="25" spans="1:5" ht="34.5" customHeight="1">
      <c r="A25" s="518"/>
      <c r="B25" s="467"/>
      <c r="C25" s="124" t="s">
        <v>43</v>
      </c>
      <c r="D25" s="123" t="s">
        <v>286</v>
      </c>
      <c r="E25" s="142"/>
    </row>
    <row r="26" spans="1:5" ht="26.25" customHeight="1">
      <c r="A26" s="456"/>
      <c r="B26" s="456"/>
      <c r="C26" s="142"/>
      <c r="D26" s="123" t="s">
        <v>286</v>
      </c>
      <c r="E26" s="142"/>
    </row>
    <row r="27" spans="1:5" ht="28.5" customHeight="1">
      <c r="A27" s="456"/>
      <c r="B27" s="456"/>
      <c r="C27" s="142"/>
      <c r="D27" s="123" t="s">
        <v>286</v>
      </c>
      <c r="E27" s="142"/>
    </row>
    <row r="28" spans="1:5" ht="23.25" customHeight="1">
      <c r="A28" s="456"/>
      <c r="B28" s="456"/>
      <c r="C28" s="142"/>
      <c r="D28" s="123" t="s">
        <v>286</v>
      </c>
      <c r="E28" s="142"/>
    </row>
    <row r="29" spans="1:5" ht="22.5" customHeight="1">
      <c r="A29" s="456"/>
      <c r="B29" s="456"/>
      <c r="C29" s="142"/>
      <c r="D29" s="123" t="s">
        <v>286</v>
      </c>
      <c r="E29" s="142"/>
    </row>
    <row r="30" spans="1:5" ht="24.75" customHeight="1"/>
    <row r="31" spans="1:5">
      <c r="B31" s="2" t="s">
        <v>310</v>
      </c>
      <c r="C31" s="2"/>
      <c r="D31" s="153">
        <v>2</v>
      </c>
      <c r="E31" s="2" t="s">
        <v>6</v>
      </c>
    </row>
    <row r="33" spans="2:3">
      <c r="B33" s="54" t="s">
        <v>210</v>
      </c>
      <c r="C33" s="54"/>
    </row>
    <row r="34" spans="2:3">
      <c r="B34" s="54" t="s">
        <v>211</v>
      </c>
      <c r="C34" s="54"/>
    </row>
    <row r="35" spans="2:3">
      <c r="B35" s="54" t="s">
        <v>397</v>
      </c>
      <c r="C35" s="54"/>
    </row>
  </sheetData>
  <sheetProtection sheet="1" objects="1" scenarios="1" formatRows="0"/>
  <protectedRanges>
    <protectedRange sqref="C10:E29 D31" name="Range1"/>
  </protectedRanges>
  <mergeCells count="15">
    <mergeCell ref="A1:E1"/>
    <mergeCell ref="A20:A22"/>
    <mergeCell ref="B20:B22"/>
    <mergeCell ref="A13:A16"/>
    <mergeCell ref="B13:B16"/>
    <mergeCell ref="A17:A19"/>
    <mergeCell ref="B17:B19"/>
    <mergeCell ref="T9:T10"/>
    <mergeCell ref="U9:U10"/>
    <mergeCell ref="B23:B29"/>
    <mergeCell ref="A23:A29"/>
    <mergeCell ref="A10:A12"/>
    <mergeCell ref="B10:B12"/>
    <mergeCell ref="H9:H10"/>
    <mergeCell ref="I9:S9"/>
  </mergeCells>
  <dataValidations count="2">
    <dataValidation type="list" allowBlank="1" showInputMessage="1" showErrorMessage="1" sqref="D10:D29">
      <formula1>"มี,ไม่มี"</formula1>
    </dataValidation>
    <dataValidation type="list" allowBlank="1" showInputMessage="1" showErrorMessage="1" sqref="D31">
      <formula1>"0,1,2,3,4,5"</formula1>
    </dataValidation>
  </dataValidations>
  <pageMargins left="0.31496062992125984" right="0.27559055118110237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60"/>
  <sheetViews>
    <sheetView topLeftCell="A21" zoomScale="150" zoomScaleNormal="150" workbookViewId="0">
      <selection activeCell="I26" sqref="I26:K30"/>
    </sheetView>
  </sheetViews>
  <sheetFormatPr defaultColWidth="9" defaultRowHeight="24"/>
  <cols>
    <col min="1" max="1" width="9.85546875" style="224" customWidth="1"/>
    <col min="2" max="2" width="7.140625" style="224" customWidth="1"/>
    <col min="3" max="3" width="7.5703125" style="224" customWidth="1"/>
    <col min="4" max="4" width="7.42578125" style="224" customWidth="1"/>
    <col min="5" max="6" width="7.85546875" style="224" customWidth="1"/>
    <col min="7" max="7" width="8.140625" style="224" customWidth="1"/>
    <col min="8" max="8" width="7" style="224" customWidth="1"/>
    <col min="9" max="9" width="7.140625" style="224" customWidth="1"/>
    <col min="10" max="10" width="6.85546875" style="224" customWidth="1"/>
    <col min="11" max="11" width="7" style="224" customWidth="1"/>
    <col min="12" max="12" width="15.140625" style="224" customWidth="1"/>
    <col min="13" max="13" width="11" style="224" customWidth="1"/>
    <col min="14" max="14" width="16.7109375" style="224" customWidth="1"/>
    <col min="15" max="16384" width="9" style="224"/>
  </cols>
  <sheetData>
    <row r="1" spans="1:14" ht="26.25">
      <c r="A1" s="221" t="s">
        <v>430</v>
      </c>
      <c r="B1" s="222"/>
      <c r="C1" s="223" t="s">
        <v>431</v>
      </c>
      <c r="D1" s="222"/>
      <c r="E1" s="222"/>
      <c r="F1" s="222"/>
      <c r="G1" s="222"/>
      <c r="H1" s="222"/>
      <c r="I1" s="222"/>
      <c r="J1" s="222"/>
      <c r="K1" s="221" t="str">
        <f>"ประเมินตนเองปีการศึกษา "&amp;'1.1'!B7</f>
        <v>ประเมินตนเองปีการศึกษา 2560</v>
      </c>
      <c r="L1" s="222"/>
    </row>
    <row r="2" spans="1:14" ht="26.25">
      <c r="A2" s="221"/>
      <c r="B2" s="221" t="str">
        <f>"สาขาวิชา/หลักสูตร   "&amp;'1.1'!B6 &amp; "           คณะ" &amp; '1.1'!F6 &amp; "  มหาวิทยาลัย"&amp; '1.1'!J6&amp; "       หลักสูตร 4 ปี"</f>
        <v>สาขาวิชา/หลักสูตร   นิติวิทยา           คณะวิทยาศาสตร์  มหาวิทยาลัยโรงเรียนนายร้อยตำรวจ       หลักสูตร 4 ปี</v>
      </c>
      <c r="F2" s="226"/>
    </row>
    <row r="3" spans="1:14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</row>
    <row r="4" spans="1:14">
      <c r="A4" s="522" t="s">
        <v>247</v>
      </c>
      <c r="B4" s="524" t="s">
        <v>432</v>
      </c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35" t="s">
        <v>433</v>
      </c>
      <c r="N4" s="537" t="s">
        <v>434</v>
      </c>
    </row>
    <row r="5" spans="1:14" ht="26.25">
      <c r="A5" s="523"/>
      <c r="B5" s="227">
        <f>'1.1'!B7-6</f>
        <v>2554</v>
      </c>
      <c r="C5" s="227">
        <f>B5+1</f>
        <v>2555</v>
      </c>
      <c r="D5" s="227">
        <f t="shared" ref="D5:I5" si="0">C5+1</f>
        <v>2556</v>
      </c>
      <c r="E5" s="227">
        <f t="shared" si="0"/>
        <v>2557</v>
      </c>
      <c r="F5" s="227">
        <f t="shared" si="0"/>
        <v>2558</v>
      </c>
      <c r="G5" s="227">
        <f t="shared" si="0"/>
        <v>2559</v>
      </c>
      <c r="H5" s="227">
        <f t="shared" si="0"/>
        <v>2560</v>
      </c>
      <c r="I5" s="227">
        <f t="shared" si="0"/>
        <v>2561</v>
      </c>
      <c r="J5" s="228" t="s">
        <v>435</v>
      </c>
      <c r="K5" s="229" t="s">
        <v>436</v>
      </c>
      <c r="L5" s="230" t="s">
        <v>437</v>
      </c>
      <c r="M5" s="536"/>
      <c r="N5" s="538"/>
    </row>
    <row r="6" spans="1:14" ht="26.25">
      <c r="A6" s="227">
        <f>B5</f>
        <v>2554</v>
      </c>
      <c r="B6" s="378">
        <v>13</v>
      </c>
      <c r="C6" s="378">
        <v>11</v>
      </c>
      <c r="D6" s="378">
        <v>11</v>
      </c>
      <c r="E6" s="378">
        <v>11</v>
      </c>
      <c r="F6" s="378">
        <v>1</v>
      </c>
      <c r="G6" s="378">
        <v>0</v>
      </c>
      <c r="H6" s="378">
        <v>0</v>
      </c>
      <c r="I6" s="378">
        <v>0</v>
      </c>
      <c r="J6" s="231">
        <f>SUM(F6:I6)</f>
        <v>1</v>
      </c>
      <c r="K6" s="231">
        <f>B6-L6-J6</f>
        <v>2</v>
      </c>
      <c r="L6" s="378">
        <v>10</v>
      </c>
      <c r="M6" s="232">
        <f>IF(ISBLANK(B6),    ,(B6-K6)/B6*100)</f>
        <v>84.615384615384613</v>
      </c>
      <c r="N6" s="233">
        <f>IF(ISBLANK(B6),    ,L6/B6*100)</f>
        <v>76.923076923076934</v>
      </c>
    </row>
    <row r="7" spans="1:14" ht="26.25">
      <c r="A7" s="227">
        <f>A6+1</f>
        <v>2555</v>
      </c>
      <c r="B7" s="234"/>
      <c r="C7" s="378">
        <v>12</v>
      </c>
      <c r="D7" s="378">
        <v>12</v>
      </c>
      <c r="E7" s="378">
        <v>12</v>
      </c>
      <c r="F7" s="378">
        <v>12</v>
      </c>
      <c r="G7" s="378">
        <v>0</v>
      </c>
      <c r="H7" s="378">
        <v>0</v>
      </c>
      <c r="I7" s="378">
        <v>0</v>
      </c>
      <c r="J7" s="231">
        <f>SUM(G7:I7)</f>
        <v>0</v>
      </c>
      <c r="K7" s="231">
        <f>C7-L7-J7</f>
        <v>0</v>
      </c>
      <c r="L7" s="378">
        <v>12</v>
      </c>
      <c r="M7" s="232">
        <f>IF(ISBLANK(C7),    ,(C7-K7)/C7*100)</f>
        <v>100</v>
      </c>
      <c r="N7" s="233">
        <f>IF(ISBLANK(C7),    ,L7/C7*100)</f>
        <v>100</v>
      </c>
    </row>
    <row r="8" spans="1:14" ht="26.25">
      <c r="A8" s="227">
        <f t="shared" ref="A8:A12" si="1">A7+1</f>
        <v>2556</v>
      </c>
      <c r="B8" s="234"/>
      <c r="C8" s="234"/>
      <c r="D8" s="378">
        <v>13</v>
      </c>
      <c r="E8" s="378">
        <v>12</v>
      </c>
      <c r="F8" s="378">
        <v>12</v>
      </c>
      <c r="G8" s="378">
        <v>12</v>
      </c>
      <c r="H8" s="378">
        <v>0</v>
      </c>
      <c r="I8" s="378">
        <v>0</v>
      </c>
      <c r="J8" s="231">
        <f>SUM(H8:I8)</f>
        <v>0</v>
      </c>
      <c r="K8" s="231">
        <f>D8-L8-J8</f>
        <v>1</v>
      </c>
      <c r="L8" s="378">
        <v>12</v>
      </c>
      <c r="M8" s="232">
        <f>IF(ISBLANK(D8),    ,(D8-K8)/D8*100)</f>
        <v>92.307692307692307</v>
      </c>
      <c r="N8" s="233">
        <f>IF(ISBLANK(D8),    ,L8/D8*100)</f>
        <v>92.307692307692307</v>
      </c>
    </row>
    <row r="9" spans="1:14" ht="26.25">
      <c r="A9" s="227">
        <f t="shared" si="1"/>
        <v>2557</v>
      </c>
      <c r="B9" s="234"/>
      <c r="C9" s="234"/>
      <c r="D9" s="234"/>
      <c r="E9" s="378">
        <v>26</v>
      </c>
      <c r="F9" s="378">
        <v>26</v>
      </c>
      <c r="G9" s="378">
        <v>26</v>
      </c>
      <c r="H9" s="378">
        <v>23</v>
      </c>
      <c r="I9" s="378">
        <v>1</v>
      </c>
      <c r="J9" s="231">
        <f>SUM(I9)</f>
        <v>1</v>
      </c>
      <c r="K9" s="231">
        <f>E9-L9-J9</f>
        <v>3</v>
      </c>
      <c r="L9" s="378">
        <v>22</v>
      </c>
      <c r="M9" s="232">
        <f>IF(ISBLANK(E9),    ,(E9-K9)/E9*100)</f>
        <v>88.461538461538453</v>
      </c>
      <c r="N9" s="233">
        <f>IF(ISBLANK(E9),    ,L9/E9*100)</f>
        <v>84.615384615384613</v>
      </c>
    </row>
    <row r="10" spans="1:14" ht="26.25">
      <c r="A10" s="227">
        <f t="shared" si="1"/>
        <v>2558</v>
      </c>
      <c r="B10" s="234"/>
      <c r="C10" s="234"/>
      <c r="D10" s="234"/>
      <c r="E10" s="234"/>
      <c r="F10" s="378">
        <v>31</v>
      </c>
      <c r="G10" s="378">
        <v>31</v>
      </c>
      <c r="H10" s="378">
        <v>29</v>
      </c>
      <c r="I10" s="378">
        <v>28</v>
      </c>
      <c r="J10" s="378">
        <v>1</v>
      </c>
      <c r="K10" s="231">
        <f>F10-L10-J10</f>
        <v>3</v>
      </c>
      <c r="L10" s="378">
        <v>27</v>
      </c>
      <c r="M10" s="235" t="s">
        <v>69</v>
      </c>
      <c r="N10" s="236"/>
    </row>
    <row r="11" spans="1:14" ht="26.25">
      <c r="A11" s="227">
        <f t="shared" si="1"/>
        <v>2559</v>
      </c>
      <c r="B11" s="234"/>
      <c r="C11" s="234"/>
      <c r="D11" s="234"/>
      <c r="E11" s="234"/>
      <c r="F11" s="234"/>
      <c r="G11" s="378">
        <v>41</v>
      </c>
      <c r="H11" s="378">
        <v>35</v>
      </c>
      <c r="I11" s="378">
        <v>30</v>
      </c>
      <c r="J11" s="237" t="s">
        <v>69</v>
      </c>
      <c r="K11" s="231">
        <f>G11-I11</f>
        <v>11</v>
      </c>
      <c r="L11" s="378">
        <v>0</v>
      </c>
      <c r="M11" s="235" t="s">
        <v>69</v>
      </c>
      <c r="N11" s="236"/>
    </row>
    <row r="12" spans="1:14" ht="26.25">
      <c r="A12" s="227">
        <f t="shared" si="1"/>
        <v>2560</v>
      </c>
      <c r="B12" s="234"/>
      <c r="C12" s="234"/>
      <c r="D12" s="234"/>
      <c r="E12" s="234"/>
      <c r="F12" s="234"/>
      <c r="G12" s="234"/>
      <c r="H12" s="378">
        <v>42</v>
      </c>
      <c r="I12" s="378">
        <v>40</v>
      </c>
      <c r="J12" s="237" t="s">
        <v>69</v>
      </c>
      <c r="K12" s="231">
        <f>H12-I12</f>
        <v>2</v>
      </c>
      <c r="L12" s="378">
        <v>0</v>
      </c>
      <c r="M12" s="235" t="s">
        <v>69</v>
      </c>
      <c r="N12" s="236"/>
    </row>
    <row r="23" spans="1:14">
      <c r="A23" s="222" t="s">
        <v>69</v>
      </c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</row>
    <row r="24" spans="1:14" ht="26.25">
      <c r="A24" s="225" t="s">
        <v>543</v>
      </c>
    </row>
    <row r="25" spans="1:14">
      <c r="A25" s="540" t="s">
        <v>544</v>
      </c>
      <c r="B25" s="541"/>
      <c r="C25" s="541"/>
      <c r="D25" s="542"/>
      <c r="E25" s="542"/>
      <c r="F25" s="542"/>
      <c r="G25" s="542"/>
      <c r="H25" s="542"/>
      <c r="I25" s="374">
        <f>'1.1'!B7-2</f>
        <v>2558</v>
      </c>
      <c r="J25" s="374">
        <f>I25+1</f>
        <v>2559</v>
      </c>
      <c r="K25" s="374">
        <f>J25+1</f>
        <v>2560</v>
      </c>
    </row>
    <row r="26" spans="1:14">
      <c r="A26" s="543" t="s">
        <v>545</v>
      </c>
      <c r="B26" s="544"/>
      <c r="C26" s="544"/>
      <c r="D26" s="545"/>
      <c r="E26" s="546"/>
      <c r="F26" s="546"/>
      <c r="G26" s="546"/>
      <c r="H26" s="546"/>
      <c r="I26" s="375">
        <v>3</v>
      </c>
      <c r="J26" s="375">
        <v>2.8</v>
      </c>
      <c r="K26" s="375">
        <v>2.9</v>
      </c>
      <c r="L26" s="224" t="s">
        <v>69</v>
      </c>
    </row>
    <row r="27" spans="1:14">
      <c r="A27" s="547" t="s">
        <v>546</v>
      </c>
      <c r="B27" s="548"/>
      <c r="C27" s="548"/>
      <c r="D27" s="548"/>
      <c r="E27" s="549"/>
      <c r="F27" s="549"/>
      <c r="G27" s="550"/>
      <c r="H27" s="551"/>
      <c r="I27" s="375">
        <v>3</v>
      </c>
      <c r="J27" s="375">
        <v>2.5</v>
      </c>
      <c r="K27" s="375">
        <v>4.5</v>
      </c>
    </row>
    <row r="28" spans="1:14" ht="23.45" customHeight="1">
      <c r="A28" s="539" t="s">
        <v>547</v>
      </c>
      <c r="B28" s="527"/>
      <c r="C28" s="527"/>
      <c r="D28" s="527"/>
      <c r="E28" s="528"/>
      <c r="F28" s="528"/>
      <c r="G28" s="528"/>
      <c r="H28" s="528"/>
      <c r="I28" s="375">
        <v>3</v>
      </c>
      <c r="J28" s="375">
        <v>2</v>
      </c>
      <c r="K28" s="375">
        <v>4</v>
      </c>
    </row>
    <row r="29" spans="1:14">
      <c r="A29" s="526" t="s">
        <v>548</v>
      </c>
      <c r="B29" s="527"/>
      <c r="C29" s="527"/>
      <c r="D29" s="527"/>
      <c r="E29" s="528"/>
      <c r="F29" s="528"/>
      <c r="G29" s="528"/>
      <c r="H29" s="528"/>
      <c r="I29" s="375">
        <v>3</v>
      </c>
      <c r="J29" s="375">
        <v>1.5</v>
      </c>
      <c r="K29" s="375">
        <v>1.9</v>
      </c>
    </row>
    <row r="30" spans="1:14">
      <c r="A30" s="529" t="s">
        <v>549</v>
      </c>
      <c r="B30" s="530"/>
      <c r="C30" s="530"/>
      <c r="D30" s="530"/>
      <c r="E30" s="531"/>
      <c r="F30" s="531"/>
      <c r="G30" s="531"/>
      <c r="H30" s="531"/>
      <c r="I30" s="375">
        <v>4</v>
      </c>
      <c r="J30" s="375">
        <v>2</v>
      </c>
      <c r="K30" s="375">
        <v>4</v>
      </c>
    </row>
    <row r="31" spans="1:14" ht="27.75">
      <c r="A31" s="532" t="s">
        <v>550</v>
      </c>
      <c r="B31" s="533"/>
      <c r="C31" s="533"/>
      <c r="D31" s="534"/>
      <c r="E31" s="534"/>
      <c r="F31" s="534"/>
      <c r="G31" s="534"/>
      <c r="H31" s="534"/>
      <c r="I31" s="376">
        <f>AVERAGE(I26:I30)</f>
        <v>3.2</v>
      </c>
      <c r="J31" s="376">
        <f t="shared" ref="J31:K31" si="2">AVERAGE(J26:J30)</f>
        <v>2.16</v>
      </c>
      <c r="K31" s="376">
        <f t="shared" si="2"/>
        <v>3.46</v>
      </c>
    </row>
    <row r="32" spans="1:14">
      <c r="A32" s="519"/>
      <c r="B32" s="520"/>
      <c r="C32" s="520"/>
      <c r="D32" s="521"/>
    </row>
    <row r="57" spans="2:9" ht="26.25">
      <c r="B57" s="258" t="s">
        <v>209</v>
      </c>
      <c r="C57" s="258"/>
      <c r="D57" s="258"/>
      <c r="E57" s="258"/>
      <c r="F57" s="258"/>
      <c r="G57" s="259"/>
      <c r="H57" s="260"/>
      <c r="I57" s="377"/>
    </row>
    <row r="58" spans="2:9" ht="26.25">
      <c r="B58" s="258" t="s">
        <v>440</v>
      </c>
      <c r="C58" s="258"/>
      <c r="D58" s="258"/>
      <c r="E58" s="258"/>
      <c r="F58" s="258"/>
      <c r="G58" s="259"/>
      <c r="H58" s="260"/>
      <c r="I58" s="377"/>
    </row>
    <row r="59" spans="2:9" ht="26.25">
      <c r="B59" s="258" t="s">
        <v>441</v>
      </c>
      <c r="C59" s="258"/>
      <c r="D59" s="258"/>
      <c r="E59" s="258"/>
      <c r="F59" s="258"/>
      <c r="G59" s="259"/>
      <c r="H59" s="260"/>
      <c r="I59" s="377"/>
    </row>
    <row r="60" spans="2:9" ht="26.25">
      <c r="B60" s="258" t="s">
        <v>551</v>
      </c>
      <c r="C60" s="258"/>
      <c r="D60" s="258"/>
      <c r="E60" s="258"/>
      <c r="F60" s="258"/>
      <c r="G60" s="259"/>
      <c r="H60" s="260"/>
      <c r="I60" s="377"/>
    </row>
  </sheetData>
  <sheetProtection algorithmName="SHA-512" hashValue="wRNWexaR5Kr/pOdWFlpsPVw91nfW7pDkIqDgBVrGKhuOJSn9qOtZBD35azbsQZ2tuYjdnjRN2KeVH8t5KU5Eeg==" saltValue="kntojSdBh7tWVzDxZObhQA==" spinCount="100000" sheet="1" objects="1" scenarios="1"/>
  <protectedRanges>
    <protectedRange sqref="B6:I6 C7:I7 D8:I8 E9:I9 F10:J10 G11:I11 H12:I12 L6:L12 I26:K30" name="Range1_1"/>
  </protectedRanges>
  <mergeCells count="12">
    <mergeCell ref="M4:M5"/>
    <mergeCell ref="N4:N5"/>
    <mergeCell ref="A28:H28"/>
    <mergeCell ref="A25:H25"/>
    <mergeCell ref="A26:H26"/>
    <mergeCell ref="A27:H27"/>
    <mergeCell ref="A32:D32"/>
    <mergeCell ref="A4:A5"/>
    <mergeCell ref="B4:L4"/>
    <mergeCell ref="A29:H29"/>
    <mergeCell ref="A30:H30"/>
    <mergeCell ref="A31:H3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9"/>
  <sheetViews>
    <sheetView topLeftCell="A7" zoomScale="90" zoomScaleNormal="90" workbookViewId="0">
      <selection activeCell="I17" sqref="I17"/>
    </sheetView>
  </sheetViews>
  <sheetFormatPr defaultColWidth="9" defaultRowHeight="23.25"/>
  <cols>
    <col min="1" max="1" width="9.85546875" style="242" customWidth="1"/>
    <col min="2" max="3" width="7.42578125" style="242" customWidth="1"/>
    <col min="4" max="4" width="7.5703125" style="242" customWidth="1"/>
    <col min="5" max="6" width="7.85546875" style="242" customWidth="1"/>
    <col min="7" max="7" width="7.7109375" style="242" customWidth="1"/>
    <col min="8" max="8" width="7.42578125" style="242" customWidth="1"/>
    <col min="9" max="9" width="7.85546875" style="242" customWidth="1"/>
    <col min="10" max="10" width="6.85546875" style="242" customWidth="1"/>
    <col min="11" max="11" width="6.7109375" style="242" customWidth="1"/>
    <col min="12" max="12" width="14.42578125" style="242" customWidth="1"/>
    <col min="13" max="13" width="9.5703125" style="242" customWidth="1"/>
    <col min="14" max="14" width="15.7109375" style="242" customWidth="1"/>
    <col min="15" max="16384" width="9" style="242"/>
  </cols>
  <sheetData>
    <row r="1" spans="1:14" ht="26.25">
      <c r="A1" s="241" t="s">
        <v>430</v>
      </c>
      <c r="C1" s="241" t="str">
        <f>"อัคราคงอยู่นักศึกษาและอัตราการสำเร็จการศึกษาตามกำหนด      ประเมินตนเองปีการศึกษา พ.ศ. "&amp;'1.1'!B7</f>
        <v>อัคราคงอยู่นักศึกษาและอัตราการสำเร็จการศึกษาตามกำหนด      ประเมินตนเองปีการศึกษา พ.ศ. 2560</v>
      </c>
      <c r="L1" s="243"/>
    </row>
    <row r="2" spans="1:14" ht="26.25">
      <c r="A2" s="241"/>
      <c r="B2" s="261" t="str">
        <f>"สาขาวิชา/หลักสูตร   "&amp;'1.1'!B6 &amp; "           คณะ" &amp; '1.1'!F6 &amp; "  มหาวิทยาลัย"&amp; '1.1'!J6&amp; "   หลักสูตร 5 ปี"</f>
        <v>สาขาวิชา/หลักสูตร   นิติวิทยา           คณะวิทยาศาสตร์  มหาวิทยาลัยโรงเรียนนายร้อยตำรวจ   หลักสูตร 5 ปี</v>
      </c>
      <c r="C2" s="241"/>
      <c r="L2" s="243"/>
    </row>
    <row r="4" spans="1:14">
      <c r="A4" s="552" t="s">
        <v>247</v>
      </c>
      <c r="B4" s="554" t="s">
        <v>432</v>
      </c>
      <c r="C4" s="555"/>
      <c r="D4" s="555"/>
      <c r="E4" s="555"/>
      <c r="F4" s="555"/>
      <c r="G4" s="555"/>
      <c r="H4" s="555"/>
      <c r="I4" s="555"/>
      <c r="J4" s="555"/>
      <c r="K4" s="555"/>
      <c r="L4" s="556"/>
      <c r="M4" s="557" t="s">
        <v>442</v>
      </c>
      <c r="N4" s="559" t="s">
        <v>443</v>
      </c>
    </row>
    <row r="5" spans="1:14">
      <c r="A5" s="553"/>
      <c r="B5" s="244">
        <f>[1]SARหลักสูตร!G1-6</f>
        <v>2553</v>
      </c>
      <c r="C5" s="244">
        <f>B5+1</f>
        <v>2554</v>
      </c>
      <c r="D5" s="244">
        <f t="shared" ref="D5:I5" si="0">C5+1</f>
        <v>2555</v>
      </c>
      <c r="E5" s="244">
        <f t="shared" si="0"/>
        <v>2556</v>
      </c>
      <c r="F5" s="244">
        <f t="shared" si="0"/>
        <v>2557</v>
      </c>
      <c r="G5" s="244">
        <f t="shared" si="0"/>
        <v>2558</v>
      </c>
      <c r="H5" s="244">
        <f t="shared" si="0"/>
        <v>2559</v>
      </c>
      <c r="I5" s="244">
        <f t="shared" si="0"/>
        <v>2560</v>
      </c>
      <c r="J5" s="244" t="s">
        <v>435</v>
      </c>
      <c r="K5" s="245" t="s">
        <v>436</v>
      </c>
      <c r="L5" s="246" t="s">
        <v>437</v>
      </c>
      <c r="M5" s="558"/>
      <c r="N5" s="560"/>
    </row>
    <row r="6" spans="1:14">
      <c r="A6" s="244">
        <f>B5</f>
        <v>2553</v>
      </c>
      <c r="B6" s="247">
        <v>32</v>
      </c>
      <c r="C6" s="247">
        <v>29</v>
      </c>
      <c r="D6" s="247">
        <v>29</v>
      </c>
      <c r="E6" s="247">
        <v>29</v>
      </c>
      <c r="F6" s="247">
        <v>29</v>
      </c>
      <c r="G6" s="247">
        <v>2</v>
      </c>
      <c r="H6" s="247">
        <v>0</v>
      </c>
      <c r="I6" s="247">
        <v>0</v>
      </c>
      <c r="J6" s="248">
        <f>SUM(G6:I6)</f>
        <v>2</v>
      </c>
      <c r="K6" s="248">
        <f>B6-L6-J6</f>
        <v>3</v>
      </c>
      <c r="L6" s="247">
        <v>27</v>
      </c>
      <c r="M6" s="249">
        <f>IF(ISBLANK(B6),    ,(B6-K6)/B6*100)</f>
        <v>90.625</v>
      </c>
      <c r="N6" s="250">
        <f>IF(ISBLANK(B6),    ,L6/B6*100)</f>
        <v>84.375</v>
      </c>
    </row>
    <row r="7" spans="1:14">
      <c r="A7" s="244">
        <f>A6+1</f>
        <v>2554</v>
      </c>
      <c r="B7" s="251"/>
      <c r="C7" s="247">
        <v>94</v>
      </c>
      <c r="D7" s="247">
        <v>76</v>
      </c>
      <c r="E7" s="247">
        <v>66</v>
      </c>
      <c r="F7" s="247">
        <v>63</v>
      </c>
      <c r="G7" s="247">
        <v>62</v>
      </c>
      <c r="H7" s="247">
        <v>4</v>
      </c>
      <c r="I7" s="247">
        <v>0</v>
      </c>
      <c r="J7" s="248">
        <f>SUM(H7:I7)</f>
        <v>4</v>
      </c>
      <c r="K7" s="248">
        <f>C7-L7-J7</f>
        <v>32</v>
      </c>
      <c r="L7" s="247">
        <v>58</v>
      </c>
      <c r="M7" s="249">
        <f>IF(ISBLANK(C7),    ,(C7-K7)/C7*100)</f>
        <v>65.957446808510639</v>
      </c>
      <c r="N7" s="250">
        <f>IF(ISBLANK(C7),    ,L7/C7*100)</f>
        <v>61.702127659574465</v>
      </c>
    </row>
    <row r="8" spans="1:14">
      <c r="A8" s="244">
        <f t="shared" ref="A8:A12" si="1">A7+1</f>
        <v>2555</v>
      </c>
      <c r="B8" s="251"/>
      <c r="C8" s="251"/>
      <c r="D8" s="247">
        <v>13</v>
      </c>
      <c r="E8" s="247">
        <v>11</v>
      </c>
      <c r="F8" s="247">
        <v>11</v>
      </c>
      <c r="G8" s="247">
        <v>11</v>
      </c>
      <c r="H8" s="247">
        <v>10</v>
      </c>
      <c r="I8" s="247">
        <v>1</v>
      </c>
      <c r="J8" s="248">
        <f>SUM(I8)</f>
        <v>1</v>
      </c>
      <c r="K8" s="248">
        <f>D8-L8-J8</f>
        <v>2</v>
      </c>
      <c r="L8" s="247">
        <v>10</v>
      </c>
      <c r="M8" s="249">
        <f>IF(ISBLANK(D8),    ,(D8-K8)/D8*100)</f>
        <v>84.615384615384613</v>
      </c>
      <c r="N8" s="250">
        <f>IF(ISBLANK(D8),    ,L8/D8*100)</f>
        <v>76.923076923076934</v>
      </c>
    </row>
    <row r="9" spans="1:14">
      <c r="A9" s="244">
        <f t="shared" si="1"/>
        <v>2556</v>
      </c>
      <c r="B9" s="251"/>
      <c r="C9" s="251"/>
      <c r="D9" s="251"/>
      <c r="E9" s="247">
        <v>7</v>
      </c>
      <c r="F9" s="247">
        <v>5</v>
      </c>
      <c r="G9" s="247">
        <v>5</v>
      </c>
      <c r="H9" s="247">
        <v>5</v>
      </c>
      <c r="I9" s="247">
        <v>5</v>
      </c>
      <c r="J9" s="247">
        <v>0</v>
      </c>
      <c r="K9" s="248">
        <f>E9-L9-J9</f>
        <v>2</v>
      </c>
      <c r="L9" s="247">
        <v>5</v>
      </c>
      <c r="M9" s="249">
        <f>IF(ISBLANK(E9),    ,(E9-K9)/E9*100)</f>
        <v>71.428571428571431</v>
      </c>
      <c r="N9" s="250">
        <f>IF(ISBLANK(E9),    ,L9/E9*100)</f>
        <v>71.428571428571431</v>
      </c>
    </row>
    <row r="10" spans="1:14">
      <c r="A10" s="244">
        <f t="shared" si="1"/>
        <v>2557</v>
      </c>
      <c r="B10" s="251"/>
      <c r="C10" s="251"/>
      <c r="D10" s="251"/>
      <c r="E10" s="251"/>
      <c r="F10" s="247">
        <v>8</v>
      </c>
      <c r="G10" s="247">
        <v>8</v>
      </c>
      <c r="H10" s="247">
        <v>8</v>
      </c>
      <c r="I10" s="247">
        <v>8</v>
      </c>
      <c r="J10" s="251"/>
      <c r="K10" s="248">
        <f>F10-H10</f>
        <v>0</v>
      </c>
      <c r="L10" s="247">
        <v>0</v>
      </c>
      <c r="M10" s="252" t="s">
        <v>69</v>
      </c>
      <c r="N10" s="253"/>
    </row>
    <row r="11" spans="1:14">
      <c r="A11" s="244">
        <f t="shared" si="1"/>
        <v>2558</v>
      </c>
      <c r="B11" s="251"/>
      <c r="C11" s="251"/>
      <c r="D11" s="251"/>
      <c r="E11" s="251"/>
      <c r="F11" s="251"/>
      <c r="G11" s="247">
        <v>14</v>
      </c>
      <c r="H11" s="247">
        <v>11</v>
      </c>
      <c r="I11" s="247">
        <v>11</v>
      </c>
      <c r="J11" s="251"/>
      <c r="K11" s="248">
        <f>G11-I11</f>
        <v>3</v>
      </c>
      <c r="L11" s="247">
        <v>0</v>
      </c>
      <c r="M11" s="252" t="s">
        <v>69</v>
      </c>
      <c r="N11" s="253"/>
    </row>
    <row r="12" spans="1:14">
      <c r="A12" s="244">
        <f t="shared" si="1"/>
        <v>2559</v>
      </c>
      <c r="B12" s="251"/>
      <c r="C12" s="251"/>
      <c r="D12" s="251"/>
      <c r="E12" s="251"/>
      <c r="F12" s="251"/>
      <c r="G12" s="251"/>
      <c r="H12" s="247">
        <v>9</v>
      </c>
      <c r="I12" s="247">
        <v>9</v>
      </c>
      <c r="J12" s="251"/>
      <c r="K12" s="248">
        <f>H12-I12</f>
        <v>0</v>
      </c>
      <c r="L12" s="247">
        <v>0</v>
      </c>
      <c r="M12" s="252" t="s">
        <v>69</v>
      </c>
      <c r="N12" s="253"/>
    </row>
    <row r="13" spans="1:14">
      <c r="A13" s="242" t="s">
        <v>69</v>
      </c>
    </row>
    <row r="14" spans="1:14">
      <c r="A14" s="254" t="s">
        <v>543</v>
      </c>
      <c r="B14" s="222"/>
      <c r="C14" s="222"/>
      <c r="D14" s="222"/>
      <c r="E14" s="222"/>
      <c r="F14" s="222"/>
    </row>
    <row r="15" spans="1:14">
      <c r="A15" s="238" t="s">
        <v>439</v>
      </c>
      <c r="B15" s="239">
        <f>D15-2</f>
        <v>2558</v>
      </c>
      <c r="C15" s="239">
        <f>D15-1</f>
        <v>2559</v>
      </c>
      <c r="D15" s="239">
        <f>'1.1'!B7</f>
        <v>2560</v>
      </c>
      <c r="E15" s="222"/>
      <c r="F15" s="222"/>
    </row>
    <row r="16" spans="1:14">
      <c r="A16" s="239" t="s">
        <v>6</v>
      </c>
      <c r="B16" s="240">
        <v>3.2</v>
      </c>
      <c r="C16" s="240">
        <v>3.8</v>
      </c>
      <c r="D16" s="240">
        <v>4.0199999999999996</v>
      </c>
      <c r="E16" s="222"/>
      <c r="F16" s="222"/>
    </row>
    <row r="25" spans="2:7">
      <c r="B25" s="255" t="s">
        <v>209</v>
      </c>
      <c r="C25" s="255"/>
      <c r="D25" s="255"/>
      <c r="E25" s="255"/>
      <c r="F25" s="255"/>
      <c r="G25" s="256"/>
    </row>
    <row r="26" spans="2:7">
      <c r="B26" s="255" t="s">
        <v>440</v>
      </c>
      <c r="C26" s="255"/>
      <c r="D26" s="255"/>
      <c r="E26" s="255"/>
      <c r="F26" s="255"/>
      <c r="G26" s="256"/>
    </row>
    <row r="27" spans="2:7">
      <c r="B27" s="255" t="s">
        <v>441</v>
      </c>
      <c r="C27" s="255"/>
      <c r="D27" s="255"/>
      <c r="E27" s="255"/>
      <c r="F27" s="255"/>
      <c r="G27" s="256"/>
    </row>
    <row r="28" spans="2:7">
      <c r="B28" s="255" t="s">
        <v>444</v>
      </c>
      <c r="C28" s="255"/>
      <c r="D28" s="255"/>
      <c r="E28" s="255"/>
      <c r="F28" s="255"/>
      <c r="G28" s="256"/>
    </row>
    <row r="29" spans="2:7">
      <c r="B29" s="257"/>
      <c r="C29" s="257"/>
      <c r="D29" s="257"/>
      <c r="E29" s="257"/>
      <c r="F29" s="257"/>
      <c r="G29" s="257"/>
    </row>
  </sheetData>
  <sheetProtection algorithmName="SHA-512" hashValue="Lr02TIkovwKbQof+6zvzDJ8yrW+H9KitSJdFB9vBZ0Mn+jhSTNsXKjxD7LiorYt4IJb90m3yU1CU6423Rc4B0w==" saltValue="sQCHlfxR2hsMAtWM9FtIYw==" spinCount="100000" sheet="1" objects="1" scenarios="1"/>
  <protectedRanges>
    <protectedRange sqref="B16:D16" name="Range1_1"/>
    <protectedRange sqref="I10:I12 J9" name="Range2"/>
    <protectedRange sqref="B6:I6 C7:I7 D8:I8 G11:H11 H12 L6:L12 E9:I9 F10:H10" name="ช่วง1"/>
  </protectedRanges>
  <dataConsolidate function="countNums"/>
  <mergeCells count="4">
    <mergeCell ref="A4:A5"/>
    <mergeCell ref="B4:L4"/>
    <mergeCell ref="M4:M5"/>
    <mergeCell ref="N4:N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V446"/>
  <sheetViews>
    <sheetView topLeftCell="A115" zoomScale="150" zoomScaleNormal="150" workbookViewId="0">
      <selection activeCell="B104" sqref="B104:D104"/>
    </sheetView>
  </sheetViews>
  <sheetFormatPr defaultColWidth="8.85546875" defaultRowHeight="23.25"/>
  <cols>
    <col min="1" max="1" width="7" style="189" customWidth="1"/>
    <col min="2" max="2" width="9" style="17" customWidth="1"/>
    <col min="3" max="3" width="8.85546875" style="17" customWidth="1"/>
    <col min="4" max="4" width="10.140625" style="17" customWidth="1"/>
    <col min="5" max="5" width="8" style="17" customWidth="1"/>
    <col min="6" max="6" width="9.28515625" style="17" customWidth="1"/>
    <col min="7" max="7" width="9.5703125" style="17" customWidth="1"/>
    <col min="8" max="8" width="8.42578125" style="17" customWidth="1"/>
    <col min="9" max="9" width="9.28515625" style="17" customWidth="1"/>
    <col min="10" max="10" width="8.85546875" style="17"/>
    <col min="11" max="11" width="9.140625" style="17" customWidth="1"/>
    <col min="12" max="12" width="10.140625" style="17" customWidth="1"/>
    <col min="13" max="13" width="9.85546875" style="17" customWidth="1"/>
    <col min="14" max="14" width="10.7109375" style="17" customWidth="1"/>
    <col min="15" max="15" width="10" style="17" customWidth="1"/>
    <col min="16" max="16384" width="8.85546875" style="17"/>
  </cols>
  <sheetData>
    <row r="1" spans="1:22">
      <c r="A1" s="450" t="s">
        <v>57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98"/>
      <c r="O1" s="98"/>
      <c r="P1" s="98"/>
      <c r="Q1" s="98"/>
      <c r="R1" s="98"/>
      <c r="S1" s="98"/>
      <c r="T1" s="98"/>
      <c r="U1" s="98"/>
      <c r="V1" s="98"/>
    </row>
    <row r="2" spans="1:22">
      <c r="A2" s="17"/>
    </row>
    <row r="3" spans="1:22">
      <c r="A3" s="17" t="s">
        <v>58</v>
      </c>
    </row>
    <row r="4" spans="1:22">
      <c r="A4" s="17"/>
      <c r="B4" s="17" t="s">
        <v>25</v>
      </c>
    </row>
    <row r="5" spans="1:22">
      <c r="A5" s="17"/>
      <c r="B5" s="43" t="s">
        <v>59</v>
      </c>
      <c r="C5" s="43"/>
      <c r="D5" s="43"/>
    </row>
    <row r="6" spans="1:22">
      <c r="A6" s="157"/>
    </row>
    <row r="7" spans="1:22">
      <c r="A7" s="29" t="s">
        <v>6</v>
      </c>
      <c r="B7" s="501" t="s">
        <v>5</v>
      </c>
      <c r="C7" s="455"/>
      <c r="D7" s="455"/>
      <c r="E7" s="509" t="s">
        <v>7</v>
      </c>
      <c r="F7" s="455"/>
      <c r="G7" s="455"/>
      <c r="H7" s="456"/>
      <c r="I7" s="456"/>
      <c r="J7" s="29" t="s">
        <v>12</v>
      </c>
      <c r="K7" s="509" t="s">
        <v>51</v>
      </c>
      <c r="L7" s="456"/>
      <c r="M7" s="456"/>
    </row>
    <row r="8" spans="1:22" ht="34.15" customHeight="1">
      <c r="A8" s="649">
        <v>1</v>
      </c>
      <c r="B8" s="651" t="s">
        <v>154</v>
      </c>
      <c r="C8" s="457"/>
      <c r="D8" s="457"/>
      <c r="E8" s="616" t="s">
        <v>62</v>
      </c>
      <c r="F8" s="617"/>
      <c r="G8" s="617"/>
      <c r="H8" s="618"/>
      <c r="I8" s="618"/>
      <c r="J8" s="123" t="s">
        <v>215</v>
      </c>
      <c r="K8" s="583"/>
      <c r="L8" s="583"/>
      <c r="M8" s="583"/>
    </row>
    <row r="9" spans="1:22" ht="45" customHeight="1">
      <c r="A9" s="649"/>
      <c r="B9" s="651"/>
      <c r="C9" s="457"/>
      <c r="D9" s="457"/>
      <c r="E9" s="616" t="s">
        <v>63</v>
      </c>
      <c r="F9" s="617"/>
      <c r="G9" s="617"/>
      <c r="H9" s="618"/>
      <c r="I9" s="618"/>
      <c r="J9" s="123" t="s">
        <v>215</v>
      </c>
      <c r="K9" s="583"/>
      <c r="L9" s="583"/>
      <c r="M9" s="583"/>
    </row>
    <row r="10" spans="1:22" ht="32.25" customHeight="1">
      <c r="A10" s="649"/>
      <c r="B10" s="651"/>
      <c r="C10" s="457"/>
      <c r="D10" s="457"/>
      <c r="E10" s="616" t="s">
        <v>64</v>
      </c>
      <c r="F10" s="617"/>
      <c r="G10" s="617"/>
      <c r="H10" s="618"/>
      <c r="I10" s="618"/>
      <c r="J10" s="123" t="s">
        <v>215</v>
      </c>
      <c r="K10" s="583"/>
      <c r="L10" s="583"/>
      <c r="M10" s="583"/>
    </row>
    <row r="11" spans="1:22" ht="30" customHeight="1">
      <c r="A11" s="649"/>
      <c r="B11" s="651"/>
      <c r="C11" s="457"/>
      <c r="D11" s="457"/>
      <c r="E11" s="616" t="s">
        <v>65</v>
      </c>
      <c r="F11" s="617"/>
      <c r="G11" s="617"/>
      <c r="H11" s="618"/>
      <c r="I11" s="618"/>
      <c r="J11" s="123" t="s">
        <v>215</v>
      </c>
      <c r="K11" s="583"/>
      <c r="L11" s="583"/>
      <c r="M11" s="583"/>
    </row>
    <row r="12" spans="1:22">
      <c r="A12" s="649"/>
      <c r="B12" s="651"/>
      <c r="C12" s="457"/>
      <c r="D12" s="457"/>
      <c r="E12" s="616" t="s">
        <v>66</v>
      </c>
      <c r="F12" s="617"/>
      <c r="G12" s="617"/>
      <c r="H12" s="618"/>
      <c r="I12" s="618"/>
      <c r="J12" s="123" t="s">
        <v>215</v>
      </c>
      <c r="K12" s="583"/>
      <c r="L12" s="583"/>
      <c r="M12" s="583"/>
    </row>
    <row r="13" spans="1:22" ht="43.15" customHeight="1">
      <c r="A13" s="649"/>
      <c r="B13" s="651"/>
      <c r="C13" s="457"/>
      <c r="D13" s="457"/>
      <c r="E13" s="616" t="s">
        <v>67</v>
      </c>
      <c r="F13" s="617"/>
      <c r="G13" s="617"/>
      <c r="H13" s="618"/>
      <c r="I13" s="618"/>
      <c r="J13" s="123" t="s">
        <v>286</v>
      </c>
      <c r="K13" s="583"/>
      <c r="L13" s="583"/>
      <c r="M13" s="583"/>
    </row>
    <row r="14" spans="1:22" ht="45" customHeight="1">
      <c r="A14" s="650">
        <v>2</v>
      </c>
      <c r="B14" s="651" t="s">
        <v>155</v>
      </c>
      <c r="C14" s="457"/>
      <c r="D14" s="457"/>
      <c r="E14" s="616" t="s">
        <v>68</v>
      </c>
      <c r="F14" s="617"/>
      <c r="G14" s="617"/>
      <c r="H14" s="618"/>
      <c r="I14" s="618"/>
      <c r="J14" s="123" t="s">
        <v>215</v>
      </c>
      <c r="K14" s="583"/>
      <c r="L14" s="583"/>
      <c r="M14" s="583"/>
    </row>
    <row r="15" spans="1:22" ht="26.25" customHeight="1">
      <c r="A15" s="650"/>
      <c r="B15" s="457"/>
      <c r="C15" s="457"/>
      <c r="D15" s="457"/>
      <c r="E15" s="616" t="s">
        <v>69</v>
      </c>
      <c r="F15" s="617"/>
      <c r="G15" s="617"/>
      <c r="H15" s="618"/>
      <c r="I15" s="618"/>
      <c r="J15" s="123" t="s">
        <v>215</v>
      </c>
      <c r="K15" s="583"/>
      <c r="L15" s="583"/>
      <c r="M15" s="583"/>
    </row>
    <row r="16" spans="1:22" ht="27.75" customHeight="1">
      <c r="A16" s="650"/>
      <c r="B16" s="457"/>
      <c r="C16" s="457"/>
      <c r="D16" s="457"/>
      <c r="E16" s="616" t="s">
        <v>69</v>
      </c>
      <c r="F16" s="617"/>
      <c r="G16" s="617"/>
      <c r="H16" s="618"/>
      <c r="I16" s="618"/>
      <c r="J16" s="123" t="s">
        <v>215</v>
      </c>
      <c r="K16" s="583"/>
      <c r="L16" s="583"/>
      <c r="M16" s="583"/>
    </row>
    <row r="17" spans="1:13" ht="25.9" customHeight="1">
      <c r="A17" s="649">
        <v>3</v>
      </c>
      <c r="B17" s="651" t="s">
        <v>14</v>
      </c>
      <c r="C17" s="457"/>
      <c r="D17" s="457"/>
      <c r="E17" s="616"/>
      <c r="F17" s="617"/>
      <c r="G17" s="617"/>
      <c r="H17" s="618"/>
      <c r="I17" s="618"/>
      <c r="J17" s="123" t="s">
        <v>215</v>
      </c>
      <c r="K17" s="583"/>
      <c r="L17" s="583"/>
      <c r="M17" s="583"/>
    </row>
    <row r="18" spans="1:13">
      <c r="A18" s="649"/>
      <c r="B18" s="651"/>
      <c r="C18" s="457"/>
      <c r="D18" s="457"/>
      <c r="E18" s="609"/>
      <c r="F18" s="610"/>
      <c r="G18" s="610"/>
      <c r="H18" s="611"/>
      <c r="I18" s="612"/>
      <c r="J18" s="123" t="s">
        <v>215</v>
      </c>
      <c r="K18" s="583"/>
      <c r="L18" s="583"/>
      <c r="M18" s="583"/>
    </row>
    <row r="19" spans="1:13">
      <c r="A19" s="649"/>
      <c r="B19" s="651"/>
      <c r="C19" s="457"/>
      <c r="D19" s="457"/>
      <c r="E19" s="616"/>
      <c r="F19" s="617"/>
      <c r="G19" s="617"/>
      <c r="H19" s="618"/>
      <c r="I19" s="618"/>
      <c r="J19" s="123" t="s">
        <v>215</v>
      </c>
      <c r="K19" s="583"/>
      <c r="L19" s="583"/>
      <c r="M19" s="583"/>
    </row>
    <row r="20" spans="1:13">
      <c r="A20" s="649"/>
      <c r="B20" s="651"/>
      <c r="C20" s="457"/>
      <c r="D20" s="457"/>
      <c r="E20" s="616"/>
      <c r="F20" s="617"/>
      <c r="G20" s="617"/>
      <c r="H20" s="618"/>
      <c r="I20" s="618"/>
      <c r="J20" s="123" t="s">
        <v>215</v>
      </c>
      <c r="K20" s="583"/>
      <c r="L20" s="583"/>
      <c r="M20" s="583"/>
    </row>
    <row r="21" spans="1:13" ht="58.15" customHeight="1">
      <c r="A21" s="158">
        <v>4</v>
      </c>
      <c r="B21" s="651" t="s">
        <v>53</v>
      </c>
      <c r="C21" s="457"/>
      <c r="D21" s="457"/>
      <c r="E21" s="619" t="s">
        <v>54</v>
      </c>
      <c r="F21" s="620"/>
      <c r="G21" s="620"/>
      <c r="H21" s="618"/>
      <c r="I21" s="618"/>
      <c r="J21" s="123" t="s">
        <v>215</v>
      </c>
      <c r="K21" s="583"/>
      <c r="L21" s="583"/>
      <c r="M21" s="583"/>
    </row>
    <row r="22" spans="1:13" ht="33" customHeight="1">
      <c r="A22" s="649">
        <v>5</v>
      </c>
      <c r="B22" s="651" t="s">
        <v>55</v>
      </c>
      <c r="C22" s="458"/>
      <c r="D22" s="458"/>
      <c r="E22" s="616" t="s">
        <v>22</v>
      </c>
      <c r="F22" s="617"/>
      <c r="G22" s="617"/>
      <c r="H22" s="618"/>
      <c r="I22" s="618"/>
      <c r="J22" s="123" t="s">
        <v>215</v>
      </c>
      <c r="K22" s="583"/>
      <c r="L22" s="583"/>
      <c r="M22" s="583"/>
    </row>
    <row r="23" spans="1:13" ht="30.75" customHeight="1">
      <c r="A23" s="626"/>
      <c r="B23" s="458"/>
      <c r="C23" s="458"/>
      <c r="D23" s="458"/>
      <c r="E23" s="616" t="s">
        <v>70</v>
      </c>
      <c r="F23" s="617"/>
      <c r="G23" s="617"/>
      <c r="H23" s="618"/>
      <c r="I23" s="618"/>
      <c r="J23" s="123" t="s">
        <v>215</v>
      </c>
      <c r="K23" s="583"/>
      <c r="L23" s="583"/>
      <c r="M23" s="583"/>
    </row>
    <row r="24" spans="1:13" ht="29.25" customHeight="1">
      <c r="A24" s="626"/>
      <c r="B24" s="458"/>
      <c r="C24" s="458"/>
      <c r="D24" s="458"/>
      <c r="E24" s="616" t="s">
        <v>70</v>
      </c>
      <c r="F24" s="617"/>
      <c r="G24" s="617"/>
      <c r="H24" s="618"/>
      <c r="I24" s="618"/>
      <c r="J24" s="123" t="s">
        <v>215</v>
      </c>
      <c r="K24" s="583"/>
      <c r="L24" s="583"/>
      <c r="M24" s="583"/>
    </row>
    <row r="25" spans="1:13">
      <c r="A25" s="626"/>
      <c r="B25" s="458"/>
      <c r="C25" s="458"/>
      <c r="D25" s="458"/>
      <c r="E25" s="596"/>
      <c r="F25" s="617"/>
      <c r="G25" s="617"/>
      <c r="H25" s="618"/>
      <c r="I25" s="618"/>
      <c r="J25" s="123" t="s">
        <v>286</v>
      </c>
      <c r="K25" s="583"/>
      <c r="L25" s="583"/>
      <c r="M25" s="583"/>
    </row>
    <row r="26" spans="1:13">
      <c r="A26" s="626"/>
      <c r="B26" s="458"/>
      <c r="C26" s="458"/>
      <c r="D26" s="458"/>
      <c r="E26" s="583"/>
      <c r="F26" s="618"/>
      <c r="G26" s="618"/>
      <c r="H26" s="618"/>
      <c r="I26" s="618"/>
      <c r="J26" s="123" t="s">
        <v>286</v>
      </c>
      <c r="K26" s="583"/>
      <c r="L26" s="583"/>
      <c r="M26" s="583"/>
    </row>
    <row r="27" spans="1:13">
      <c r="A27" s="626"/>
      <c r="B27" s="458"/>
      <c r="C27" s="458"/>
      <c r="D27" s="458"/>
      <c r="E27" s="583"/>
      <c r="F27" s="618"/>
      <c r="G27" s="618"/>
      <c r="H27" s="618"/>
      <c r="I27" s="618"/>
      <c r="J27" s="123" t="s">
        <v>286</v>
      </c>
      <c r="K27" s="583"/>
      <c r="L27" s="583"/>
      <c r="M27" s="583"/>
    </row>
    <row r="28" spans="1:13">
      <c r="A28" s="157"/>
    </row>
    <row r="29" spans="1:13">
      <c r="A29" s="157"/>
    </row>
    <row r="30" spans="1:13">
      <c r="A30" s="17" t="s">
        <v>58</v>
      </c>
    </row>
    <row r="31" spans="1:13">
      <c r="A31" s="17"/>
      <c r="B31" s="17" t="s">
        <v>25</v>
      </c>
    </row>
    <row r="32" spans="1:13">
      <c r="A32" s="17"/>
      <c r="B32" s="43" t="s">
        <v>60</v>
      </c>
      <c r="C32" s="43"/>
      <c r="D32" s="43"/>
    </row>
    <row r="33" spans="1:13">
      <c r="A33" s="157"/>
    </row>
    <row r="34" spans="1:13">
      <c r="A34" s="29" t="s">
        <v>6</v>
      </c>
      <c r="B34" s="501" t="s">
        <v>5</v>
      </c>
      <c r="C34" s="455"/>
      <c r="D34" s="455"/>
      <c r="E34" s="509" t="s">
        <v>7</v>
      </c>
      <c r="F34" s="455"/>
      <c r="G34" s="455"/>
      <c r="H34" s="456"/>
      <c r="I34" s="456"/>
      <c r="J34" s="29" t="s">
        <v>12</v>
      </c>
      <c r="K34" s="509" t="s">
        <v>51</v>
      </c>
      <c r="L34" s="456"/>
      <c r="M34" s="456"/>
    </row>
    <row r="35" spans="1:13">
      <c r="A35" s="649">
        <v>1</v>
      </c>
      <c r="B35" s="466" t="s">
        <v>154</v>
      </c>
      <c r="C35" s="652"/>
      <c r="D35" s="652"/>
      <c r="E35" s="613" t="s">
        <v>62</v>
      </c>
      <c r="F35" s="614"/>
      <c r="G35" s="614"/>
      <c r="H35" s="615"/>
      <c r="I35" s="615"/>
      <c r="J35" s="123" t="s">
        <v>215</v>
      </c>
      <c r="K35" s="600"/>
      <c r="L35" s="601"/>
      <c r="M35" s="601"/>
    </row>
    <row r="36" spans="1:13" ht="46.15" customHeight="1">
      <c r="A36" s="649"/>
      <c r="B36" s="466"/>
      <c r="C36" s="652"/>
      <c r="D36" s="652"/>
      <c r="E36" s="613" t="s">
        <v>63</v>
      </c>
      <c r="F36" s="614"/>
      <c r="G36" s="614"/>
      <c r="H36" s="615"/>
      <c r="I36" s="615"/>
      <c r="J36" s="123" t="s">
        <v>215</v>
      </c>
      <c r="K36" s="600"/>
      <c r="L36" s="601"/>
      <c r="M36" s="601"/>
    </row>
    <row r="37" spans="1:13">
      <c r="A37" s="649"/>
      <c r="B37" s="466"/>
      <c r="C37" s="652"/>
      <c r="D37" s="652"/>
      <c r="E37" s="613" t="s">
        <v>64</v>
      </c>
      <c r="F37" s="614"/>
      <c r="G37" s="614"/>
      <c r="H37" s="615"/>
      <c r="I37" s="615"/>
      <c r="J37" s="123" t="s">
        <v>215</v>
      </c>
      <c r="K37" s="600"/>
      <c r="L37" s="601"/>
      <c r="M37" s="601"/>
    </row>
    <row r="38" spans="1:13">
      <c r="A38" s="649"/>
      <c r="B38" s="466"/>
      <c r="C38" s="652"/>
      <c r="D38" s="652"/>
      <c r="E38" s="613" t="s">
        <v>65</v>
      </c>
      <c r="F38" s="614"/>
      <c r="G38" s="614"/>
      <c r="H38" s="615"/>
      <c r="I38" s="615"/>
      <c r="J38" s="123" t="s">
        <v>215</v>
      </c>
      <c r="K38" s="600"/>
      <c r="L38" s="601"/>
      <c r="M38" s="601"/>
    </row>
    <row r="39" spans="1:13">
      <c r="A39" s="649"/>
      <c r="B39" s="466"/>
      <c r="C39" s="652"/>
      <c r="D39" s="652"/>
      <c r="E39" s="613" t="s">
        <v>66</v>
      </c>
      <c r="F39" s="614"/>
      <c r="G39" s="614"/>
      <c r="H39" s="615"/>
      <c r="I39" s="615"/>
      <c r="J39" s="123" t="s">
        <v>215</v>
      </c>
      <c r="K39" s="600"/>
      <c r="L39" s="601"/>
      <c r="M39" s="601"/>
    </row>
    <row r="40" spans="1:13" ht="45" customHeight="1">
      <c r="A40" s="649"/>
      <c r="B40" s="466"/>
      <c r="C40" s="652"/>
      <c r="D40" s="652"/>
      <c r="E40" s="613" t="s">
        <v>67</v>
      </c>
      <c r="F40" s="614"/>
      <c r="G40" s="614"/>
      <c r="H40" s="615"/>
      <c r="I40" s="615"/>
      <c r="J40" s="123" t="s">
        <v>215</v>
      </c>
      <c r="K40" s="600"/>
      <c r="L40" s="601"/>
      <c r="M40" s="601"/>
    </row>
    <row r="41" spans="1:13" ht="45" customHeight="1">
      <c r="A41" s="650">
        <v>2</v>
      </c>
      <c r="B41" s="466" t="s">
        <v>155</v>
      </c>
      <c r="C41" s="652"/>
      <c r="D41" s="652"/>
      <c r="E41" s="613" t="s">
        <v>68</v>
      </c>
      <c r="F41" s="614"/>
      <c r="G41" s="614"/>
      <c r="H41" s="615"/>
      <c r="I41" s="615"/>
      <c r="J41" s="123" t="s">
        <v>215</v>
      </c>
      <c r="K41" s="600"/>
      <c r="L41" s="601"/>
      <c r="M41" s="601"/>
    </row>
    <row r="42" spans="1:13">
      <c r="A42" s="650"/>
      <c r="B42" s="652"/>
      <c r="C42" s="652"/>
      <c r="D42" s="652"/>
      <c r="E42" s="613" t="s">
        <v>69</v>
      </c>
      <c r="F42" s="614"/>
      <c r="G42" s="614"/>
      <c r="H42" s="615"/>
      <c r="I42" s="615"/>
      <c r="J42" s="123" t="s">
        <v>215</v>
      </c>
      <c r="K42" s="600"/>
      <c r="L42" s="601"/>
      <c r="M42" s="601"/>
    </row>
    <row r="43" spans="1:13">
      <c r="A43" s="650"/>
      <c r="B43" s="652"/>
      <c r="C43" s="652"/>
      <c r="D43" s="652"/>
      <c r="E43" s="613" t="s">
        <v>69</v>
      </c>
      <c r="F43" s="614"/>
      <c r="G43" s="614"/>
      <c r="H43" s="615"/>
      <c r="I43" s="615"/>
      <c r="J43" s="123" t="s">
        <v>215</v>
      </c>
      <c r="K43" s="600"/>
      <c r="L43" s="601"/>
      <c r="M43" s="601"/>
    </row>
    <row r="44" spans="1:13">
      <c r="A44" s="649">
        <v>3</v>
      </c>
      <c r="B44" s="466" t="s">
        <v>14</v>
      </c>
      <c r="C44" s="652"/>
      <c r="D44" s="652"/>
      <c r="E44" s="613" t="s">
        <v>69</v>
      </c>
      <c r="F44" s="614"/>
      <c r="G44" s="614"/>
      <c r="H44" s="615"/>
      <c r="I44" s="615"/>
      <c r="J44" s="123" t="s">
        <v>215</v>
      </c>
      <c r="K44" s="600"/>
      <c r="L44" s="601"/>
      <c r="M44" s="601"/>
    </row>
    <row r="45" spans="1:13">
      <c r="A45" s="649"/>
      <c r="B45" s="466"/>
      <c r="C45" s="652"/>
      <c r="D45" s="652"/>
      <c r="E45" s="613" t="s">
        <v>69</v>
      </c>
      <c r="F45" s="614"/>
      <c r="G45" s="614"/>
      <c r="H45" s="615"/>
      <c r="I45" s="615"/>
      <c r="J45" s="123" t="s">
        <v>215</v>
      </c>
      <c r="K45" s="600"/>
      <c r="L45" s="601"/>
      <c r="M45" s="601"/>
    </row>
    <row r="46" spans="1:13">
      <c r="A46" s="649"/>
      <c r="B46" s="466"/>
      <c r="C46" s="652"/>
      <c r="D46" s="652"/>
      <c r="E46" s="613" t="s">
        <v>69</v>
      </c>
      <c r="F46" s="614"/>
      <c r="G46" s="614"/>
      <c r="H46" s="615"/>
      <c r="I46" s="615"/>
      <c r="J46" s="123" t="s">
        <v>215</v>
      </c>
      <c r="K46" s="600"/>
      <c r="L46" s="601"/>
      <c r="M46" s="601"/>
    </row>
    <row r="47" spans="1:13">
      <c r="A47" s="649"/>
      <c r="B47" s="466"/>
      <c r="C47" s="652"/>
      <c r="D47" s="652"/>
      <c r="E47" s="613" t="s">
        <v>69</v>
      </c>
      <c r="F47" s="614"/>
      <c r="G47" s="614"/>
      <c r="H47" s="615"/>
      <c r="I47" s="615"/>
      <c r="J47" s="123" t="s">
        <v>215</v>
      </c>
      <c r="K47" s="600"/>
      <c r="L47" s="601"/>
      <c r="M47" s="601"/>
    </row>
    <row r="48" spans="1:13" ht="47.45" customHeight="1">
      <c r="A48" s="158">
        <v>4</v>
      </c>
      <c r="B48" s="466" t="s">
        <v>53</v>
      </c>
      <c r="C48" s="652"/>
      <c r="D48" s="652"/>
      <c r="E48" s="619" t="s">
        <v>54</v>
      </c>
      <c r="F48" s="620"/>
      <c r="G48" s="620"/>
      <c r="H48" s="615"/>
      <c r="I48" s="615"/>
      <c r="J48" s="123" t="s">
        <v>215</v>
      </c>
      <c r="K48" s="600"/>
      <c r="L48" s="601"/>
      <c r="M48" s="601"/>
    </row>
    <row r="49" spans="1:13">
      <c r="A49" s="649">
        <v>5</v>
      </c>
      <c r="B49" s="466" t="s">
        <v>55</v>
      </c>
      <c r="C49" s="456"/>
      <c r="D49" s="456"/>
      <c r="E49" s="613" t="s">
        <v>22</v>
      </c>
      <c r="F49" s="614"/>
      <c r="G49" s="614"/>
      <c r="H49" s="615"/>
      <c r="I49" s="615"/>
      <c r="J49" s="123" t="s">
        <v>215</v>
      </c>
      <c r="K49" s="600"/>
      <c r="L49" s="601"/>
      <c r="M49" s="601"/>
    </row>
    <row r="50" spans="1:13" ht="23.45" customHeight="1">
      <c r="A50" s="626"/>
      <c r="B50" s="467"/>
      <c r="C50" s="456"/>
      <c r="D50" s="456"/>
      <c r="E50" s="613" t="s">
        <v>70</v>
      </c>
      <c r="F50" s="614"/>
      <c r="G50" s="614"/>
      <c r="H50" s="615"/>
      <c r="I50" s="615"/>
      <c r="J50" s="123" t="s">
        <v>215</v>
      </c>
      <c r="K50" s="600"/>
      <c r="L50" s="601"/>
      <c r="M50" s="601"/>
    </row>
    <row r="51" spans="1:13" ht="29.25" customHeight="1">
      <c r="A51" s="626"/>
      <c r="B51" s="467"/>
      <c r="C51" s="456"/>
      <c r="D51" s="456"/>
      <c r="E51" s="613" t="s">
        <v>70</v>
      </c>
      <c r="F51" s="614"/>
      <c r="G51" s="614"/>
      <c r="H51" s="615"/>
      <c r="I51" s="615"/>
      <c r="J51" s="123" t="s">
        <v>215</v>
      </c>
      <c r="K51" s="600"/>
      <c r="L51" s="601"/>
      <c r="M51" s="601"/>
    </row>
    <row r="52" spans="1:13">
      <c r="A52" s="626"/>
      <c r="B52" s="456"/>
      <c r="C52" s="456"/>
      <c r="D52" s="456"/>
      <c r="E52" s="653"/>
      <c r="F52" s="614"/>
      <c r="G52" s="614"/>
      <c r="H52" s="615"/>
      <c r="I52" s="615"/>
      <c r="J52" s="123" t="s">
        <v>215</v>
      </c>
      <c r="K52" s="600"/>
      <c r="L52" s="601"/>
      <c r="M52" s="601"/>
    </row>
    <row r="53" spans="1:13">
      <c r="A53" s="626"/>
      <c r="B53" s="456"/>
      <c r="C53" s="456"/>
      <c r="D53" s="456"/>
      <c r="E53" s="653"/>
      <c r="F53" s="614"/>
      <c r="G53" s="614"/>
      <c r="H53" s="615"/>
      <c r="I53" s="615"/>
      <c r="J53" s="123" t="s">
        <v>286</v>
      </c>
      <c r="K53" s="600"/>
      <c r="L53" s="601"/>
      <c r="M53" s="601"/>
    </row>
    <row r="54" spans="1:13">
      <c r="A54" s="626"/>
      <c r="B54" s="456"/>
      <c r="C54" s="456"/>
      <c r="D54" s="456"/>
      <c r="E54" s="653"/>
      <c r="F54" s="614"/>
      <c r="G54" s="614"/>
      <c r="H54" s="615"/>
      <c r="I54" s="615"/>
      <c r="J54" s="123" t="s">
        <v>286</v>
      </c>
      <c r="K54" s="600"/>
      <c r="L54" s="601"/>
      <c r="M54" s="601"/>
    </row>
    <row r="55" spans="1:13">
      <c r="A55" s="157"/>
    </row>
    <row r="56" spans="1:13">
      <c r="A56" s="157"/>
    </row>
    <row r="57" spans="1:13">
      <c r="A57" s="17" t="s">
        <v>58</v>
      </c>
    </row>
    <row r="58" spans="1:13">
      <c r="A58" s="17"/>
      <c r="B58" s="17" t="s">
        <v>25</v>
      </c>
    </row>
    <row r="59" spans="1:13">
      <c r="A59" s="17"/>
      <c r="B59" s="43" t="s">
        <v>61</v>
      </c>
      <c r="C59" s="43"/>
      <c r="D59" s="43"/>
    </row>
    <row r="60" spans="1:13">
      <c r="A60" s="157"/>
    </row>
    <row r="61" spans="1:13">
      <c r="A61" s="29" t="s">
        <v>6</v>
      </c>
      <c r="B61" s="501" t="s">
        <v>5</v>
      </c>
      <c r="C61" s="455"/>
      <c r="D61" s="455"/>
      <c r="E61" s="509" t="s">
        <v>7</v>
      </c>
      <c r="F61" s="455"/>
      <c r="G61" s="455"/>
      <c r="H61" s="654"/>
      <c r="I61" s="654"/>
      <c r="J61" s="29" t="s">
        <v>12</v>
      </c>
      <c r="K61" s="509" t="s">
        <v>51</v>
      </c>
      <c r="L61" s="654"/>
      <c r="M61" s="654"/>
    </row>
    <row r="62" spans="1:13">
      <c r="A62" s="649">
        <v>1</v>
      </c>
      <c r="B62" s="466" t="s">
        <v>154</v>
      </c>
      <c r="C62" s="652"/>
      <c r="D62" s="652"/>
      <c r="E62" s="616" t="s">
        <v>62</v>
      </c>
      <c r="F62" s="617"/>
      <c r="G62" s="617"/>
      <c r="H62" s="662"/>
      <c r="I62" s="662"/>
      <c r="J62" s="123" t="s">
        <v>215</v>
      </c>
      <c r="K62" s="616"/>
      <c r="L62" s="641"/>
      <c r="M62" s="641"/>
    </row>
    <row r="63" spans="1:13" ht="40.15" customHeight="1">
      <c r="A63" s="649"/>
      <c r="B63" s="466"/>
      <c r="C63" s="652"/>
      <c r="D63" s="652"/>
      <c r="E63" s="616" t="s">
        <v>63</v>
      </c>
      <c r="F63" s="617"/>
      <c r="G63" s="617"/>
      <c r="H63" s="662"/>
      <c r="I63" s="662"/>
      <c r="J63" s="123" t="s">
        <v>215</v>
      </c>
      <c r="K63" s="616"/>
      <c r="L63" s="641"/>
      <c r="M63" s="641"/>
    </row>
    <row r="64" spans="1:13">
      <c r="A64" s="649"/>
      <c r="B64" s="466"/>
      <c r="C64" s="652"/>
      <c r="D64" s="652"/>
      <c r="E64" s="616" t="s">
        <v>64</v>
      </c>
      <c r="F64" s="662"/>
      <c r="G64" s="662"/>
      <c r="H64" s="662"/>
      <c r="I64" s="662"/>
      <c r="J64" s="123" t="s">
        <v>215</v>
      </c>
      <c r="K64" s="616"/>
      <c r="L64" s="641"/>
      <c r="M64" s="641"/>
    </row>
    <row r="65" spans="1:20">
      <c r="A65" s="649"/>
      <c r="B65" s="466"/>
      <c r="C65" s="652"/>
      <c r="D65" s="652"/>
      <c r="E65" s="616" t="s">
        <v>65</v>
      </c>
      <c r="F65" s="617"/>
      <c r="G65" s="617"/>
      <c r="H65" s="662"/>
      <c r="I65" s="662"/>
      <c r="J65" s="123" t="s">
        <v>215</v>
      </c>
      <c r="K65" s="616"/>
      <c r="L65" s="641"/>
      <c r="M65" s="641"/>
    </row>
    <row r="66" spans="1:20">
      <c r="A66" s="649"/>
      <c r="B66" s="466"/>
      <c r="C66" s="652"/>
      <c r="D66" s="652"/>
      <c r="E66" s="616" t="s">
        <v>66</v>
      </c>
      <c r="F66" s="617"/>
      <c r="G66" s="617"/>
      <c r="H66" s="662"/>
      <c r="I66" s="662"/>
      <c r="J66" s="123" t="s">
        <v>215</v>
      </c>
      <c r="K66" s="616"/>
      <c r="L66" s="641"/>
      <c r="M66" s="641"/>
    </row>
    <row r="67" spans="1:20" ht="42.6" customHeight="1">
      <c r="A67" s="649"/>
      <c r="B67" s="466"/>
      <c r="C67" s="652"/>
      <c r="D67" s="652"/>
      <c r="E67" s="616" t="s">
        <v>67</v>
      </c>
      <c r="F67" s="617"/>
      <c r="G67" s="617"/>
      <c r="H67" s="662"/>
      <c r="I67" s="662"/>
      <c r="J67" s="123" t="s">
        <v>215</v>
      </c>
      <c r="K67" s="616"/>
      <c r="L67" s="641"/>
      <c r="M67" s="641"/>
    </row>
    <row r="68" spans="1:20" ht="45" customHeight="1">
      <c r="A68" s="650">
        <v>2</v>
      </c>
      <c r="B68" s="466" t="s">
        <v>155</v>
      </c>
      <c r="C68" s="652"/>
      <c r="D68" s="652"/>
      <c r="E68" s="616" t="s">
        <v>68</v>
      </c>
      <c r="F68" s="617"/>
      <c r="G68" s="617"/>
      <c r="H68" s="641"/>
      <c r="I68" s="641"/>
      <c r="J68" s="123" t="s">
        <v>215</v>
      </c>
      <c r="K68" s="616"/>
      <c r="L68" s="641"/>
      <c r="M68" s="641"/>
    </row>
    <row r="69" spans="1:20">
      <c r="A69" s="650"/>
      <c r="B69" s="652"/>
      <c r="C69" s="652"/>
      <c r="D69" s="652"/>
      <c r="E69" s="616" t="s">
        <v>69</v>
      </c>
      <c r="F69" s="617"/>
      <c r="G69" s="617"/>
      <c r="H69" s="641"/>
      <c r="I69" s="641"/>
      <c r="J69" s="123" t="s">
        <v>215</v>
      </c>
      <c r="K69" s="616"/>
      <c r="L69" s="641"/>
      <c r="M69" s="641"/>
    </row>
    <row r="70" spans="1:20">
      <c r="A70" s="650"/>
      <c r="B70" s="652"/>
      <c r="C70" s="652"/>
      <c r="D70" s="652"/>
      <c r="E70" s="616" t="s">
        <v>69</v>
      </c>
      <c r="F70" s="617"/>
      <c r="G70" s="617"/>
      <c r="H70" s="641"/>
      <c r="I70" s="641"/>
      <c r="J70" s="123" t="s">
        <v>215</v>
      </c>
      <c r="K70" s="616"/>
      <c r="L70" s="641"/>
      <c r="M70" s="641"/>
    </row>
    <row r="71" spans="1:20">
      <c r="A71" s="649">
        <v>3</v>
      </c>
      <c r="B71" s="466" t="s">
        <v>14</v>
      </c>
      <c r="C71" s="652"/>
      <c r="D71" s="652"/>
      <c r="E71" s="616" t="s">
        <v>69</v>
      </c>
      <c r="F71" s="617"/>
      <c r="G71" s="617"/>
      <c r="H71" s="641"/>
      <c r="I71" s="641"/>
      <c r="J71" s="123" t="s">
        <v>215</v>
      </c>
      <c r="K71" s="616"/>
      <c r="L71" s="641"/>
      <c r="M71" s="641"/>
    </row>
    <row r="72" spans="1:20">
      <c r="A72" s="649"/>
      <c r="B72" s="466"/>
      <c r="C72" s="652"/>
      <c r="D72" s="652"/>
      <c r="E72" s="616" t="s">
        <v>69</v>
      </c>
      <c r="F72" s="617"/>
      <c r="G72" s="617"/>
      <c r="H72" s="641"/>
      <c r="I72" s="641"/>
      <c r="J72" s="123" t="s">
        <v>215</v>
      </c>
      <c r="K72" s="616"/>
      <c r="L72" s="641"/>
      <c r="M72" s="641"/>
    </row>
    <row r="73" spans="1:20">
      <c r="A73" s="649"/>
      <c r="B73" s="466"/>
      <c r="C73" s="652"/>
      <c r="D73" s="652"/>
      <c r="E73" s="616" t="s">
        <v>69</v>
      </c>
      <c r="F73" s="617"/>
      <c r="G73" s="617"/>
      <c r="H73" s="641"/>
      <c r="I73" s="641"/>
      <c r="J73" s="123" t="s">
        <v>215</v>
      </c>
      <c r="K73" s="616"/>
      <c r="L73" s="641"/>
      <c r="M73" s="641"/>
    </row>
    <row r="74" spans="1:20">
      <c r="A74" s="649"/>
      <c r="B74" s="466"/>
      <c r="C74" s="652"/>
      <c r="D74" s="652"/>
      <c r="E74" s="616" t="s">
        <v>69</v>
      </c>
      <c r="F74" s="617"/>
      <c r="G74" s="617"/>
      <c r="H74" s="641"/>
      <c r="I74" s="641"/>
      <c r="J74" s="123" t="s">
        <v>215</v>
      </c>
      <c r="K74" s="616"/>
      <c r="L74" s="641"/>
      <c r="M74" s="641"/>
    </row>
    <row r="75" spans="1:20" ht="67.900000000000006" customHeight="1">
      <c r="A75" s="158">
        <v>4</v>
      </c>
      <c r="B75" s="466" t="s">
        <v>53</v>
      </c>
      <c r="C75" s="652"/>
      <c r="D75" s="652"/>
      <c r="E75" s="619" t="s">
        <v>54</v>
      </c>
      <c r="F75" s="620"/>
      <c r="G75" s="620"/>
      <c r="H75" s="641"/>
      <c r="I75" s="641"/>
      <c r="J75" s="123" t="s">
        <v>215</v>
      </c>
      <c r="K75" s="616"/>
      <c r="L75" s="641"/>
      <c r="M75" s="641"/>
    </row>
    <row r="76" spans="1:20">
      <c r="A76" s="649">
        <v>5</v>
      </c>
      <c r="B76" s="466" t="s">
        <v>55</v>
      </c>
      <c r="C76" s="456"/>
      <c r="D76" s="456"/>
      <c r="E76" s="616" t="s">
        <v>22</v>
      </c>
      <c r="F76" s="617"/>
      <c r="G76" s="617"/>
      <c r="H76" s="641"/>
      <c r="I76" s="641"/>
      <c r="J76" s="123" t="s">
        <v>215</v>
      </c>
      <c r="K76" s="616"/>
      <c r="L76" s="641"/>
      <c r="M76" s="641"/>
    </row>
    <row r="77" spans="1:20">
      <c r="A77" s="626"/>
      <c r="B77" s="467"/>
      <c r="C77" s="456"/>
      <c r="D77" s="456"/>
      <c r="E77" s="616" t="s">
        <v>70</v>
      </c>
      <c r="F77" s="617"/>
      <c r="G77" s="617"/>
      <c r="H77" s="641"/>
      <c r="I77" s="641"/>
      <c r="J77" s="123" t="s">
        <v>215</v>
      </c>
      <c r="K77" s="616"/>
      <c r="L77" s="641"/>
      <c r="M77" s="641"/>
    </row>
    <row r="78" spans="1:20" ht="29.25" customHeight="1">
      <c r="A78" s="626"/>
      <c r="B78" s="467"/>
      <c r="C78" s="456"/>
      <c r="D78" s="456"/>
      <c r="E78" s="616" t="s">
        <v>70</v>
      </c>
      <c r="F78" s="617"/>
      <c r="G78" s="617"/>
      <c r="H78" s="641"/>
      <c r="I78" s="641"/>
      <c r="J78" s="123" t="s">
        <v>215</v>
      </c>
      <c r="K78" s="616"/>
      <c r="L78" s="641"/>
      <c r="M78" s="641"/>
    </row>
    <row r="79" spans="1:20">
      <c r="A79" s="626"/>
      <c r="B79" s="456"/>
      <c r="C79" s="456"/>
      <c r="D79" s="456"/>
      <c r="E79" s="596"/>
      <c r="F79" s="617"/>
      <c r="G79" s="617"/>
      <c r="H79" s="641"/>
      <c r="I79" s="641"/>
      <c r="J79" s="123" t="s">
        <v>215</v>
      </c>
      <c r="K79" s="616"/>
      <c r="L79" s="641"/>
      <c r="M79" s="641"/>
    </row>
    <row r="80" spans="1:20">
      <c r="A80" s="626"/>
      <c r="B80" s="456"/>
      <c r="C80" s="456"/>
      <c r="D80" s="456"/>
      <c r="E80" s="596"/>
      <c r="F80" s="617"/>
      <c r="G80" s="617"/>
      <c r="H80" s="641"/>
      <c r="I80" s="641"/>
      <c r="J80" s="123" t="s">
        <v>215</v>
      </c>
      <c r="K80" s="616"/>
      <c r="L80" s="641"/>
      <c r="M80" s="641"/>
      <c r="O80" s="503" t="s">
        <v>209</v>
      </c>
      <c r="P80" s="504"/>
      <c r="Q80" s="504"/>
      <c r="R80" s="504"/>
      <c r="S80" s="504"/>
      <c r="T80" s="504"/>
    </row>
    <row r="81" spans="1:20">
      <c r="A81" s="626"/>
      <c r="B81" s="456"/>
      <c r="C81" s="456"/>
      <c r="D81" s="456"/>
      <c r="E81" s="596"/>
      <c r="F81" s="617"/>
      <c r="G81" s="617"/>
      <c r="H81" s="641"/>
      <c r="I81" s="641"/>
      <c r="J81" s="123" t="s">
        <v>215</v>
      </c>
      <c r="K81" s="616"/>
      <c r="L81" s="641"/>
      <c r="M81" s="641"/>
      <c r="O81" s="503" t="s">
        <v>210</v>
      </c>
      <c r="P81" s="504"/>
      <c r="Q81" s="504"/>
      <c r="R81" s="504"/>
      <c r="S81" s="504"/>
      <c r="T81" s="504"/>
    </row>
    <row r="82" spans="1:20">
      <c r="A82" s="157"/>
      <c r="O82" s="503" t="s">
        <v>211</v>
      </c>
      <c r="P82" s="504"/>
      <c r="Q82" s="504"/>
      <c r="R82" s="504"/>
      <c r="S82" s="504"/>
      <c r="T82" s="504"/>
    </row>
    <row r="83" spans="1:20">
      <c r="A83" s="157"/>
      <c r="B83" s="2" t="s">
        <v>302</v>
      </c>
      <c r="I83" s="153">
        <v>5</v>
      </c>
      <c r="J83" s="160" t="s">
        <v>6</v>
      </c>
      <c r="O83" s="505" t="s">
        <v>397</v>
      </c>
      <c r="P83" s="506"/>
      <c r="Q83" s="506"/>
      <c r="R83" s="506"/>
      <c r="S83" s="506"/>
      <c r="T83" s="506"/>
    </row>
    <row r="84" spans="1:20">
      <c r="A84" s="157"/>
    </row>
    <row r="85" spans="1:20" ht="26.25">
      <c r="A85" s="585" t="s">
        <v>233</v>
      </c>
      <c r="B85" s="656"/>
      <c r="C85" s="656"/>
      <c r="D85" s="656"/>
      <c r="E85" s="656"/>
      <c r="F85" s="656"/>
      <c r="G85" s="656"/>
      <c r="H85" s="656"/>
      <c r="I85" s="656"/>
      <c r="J85" s="657"/>
      <c r="K85" s="657"/>
      <c r="L85" s="657"/>
      <c r="M85" s="657"/>
      <c r="N85" s="657"/>
      <c r="O85" s="657"/>
      <c r="P85" s="657"/>
      <c r="Q85" s="657"/>
    </row>
    <row r="86" spans="1:20">
      <c r="A86" s="157"/>
    </row>
    <row r="87" spans="1:20">
      <c r="A87" s="161" t="s">
        <v>234</v>
      </c>
    </row>
    <row r="88" spans="1:20">
      <c r="A88" s="161" t="s">
        <v>235</v>
      </c>
    </row>
    <row r="89" spans="1:20">
      <c r="A89" s="162" t="s">
        <v>236</v>
      </c>
    </row>
    <row r="90" spans="1:20">
      <c r="A90" s="162" t="s">
        <v>237</v>
      </c>
    </row>
    <row r="91" spans="1:20">
      <c r="A91" s="163" t="s">
        <v>243</v>
      </c>
    </row>
    <row r="92" spans="1:20">
      <c r="A92" s="161" t="s">
        <v>289</v>
      </c>
    </row>
    <row r="93" spans="1:20">
      <c r="A93" s="162" t="s">
        <v>238</v>
      </c>
    </row>
    <row r="94" spans="1:20">
      <c r="A94" s="162" t="s">
        <v>239</v>
      </c>
    </row>
    <row r="95" spans="1:20">
      <c r="A95" s="162" t="s">
        <v>240</v>
      </c>
    </row>
    <row r="96" spans="1:20">
      <c r="A96" s="162" t="s">
        <v>241</v>
      </c>
    </row>
    <row r="97" spans="1:17">
      <c r="A97" s="162" t="s">
        <v>242</v>
      </c>
    </row>
    <row r="98" spans="1:17">
      <c r="A98" s="157"/>
    </row>
    <row r="99" spans="1:17">
      <c r="A99" s="660" t="s">
        <v>244</v>
      </c>
      <c r="B99" s="661"/>
      <c r="C99" s="661"/>
    </row>
    <row r="100" spans="1:17">
      <c r="A100" s="17"/>
      <c r="B100" s="17" t="s">
        <v>245</v>
      </c>
    </row>
    <row r="101" spans="1:17">
      <c r="A101" s="658" t="s">
        <v>222</v>
      </c>
      <c r="B101" s="642" t="s">
        <v>262</v>
      </c>
      <c r="C101" s="643"/>
      <c r="D101" s="644"/>
      <c r="E101" s="499" t="s">
        <v>225</v>
      </c>
      <c r="F101" s="502"/>
      <c r="G101" s="633" t="s">
        <v>224</v>
      </c>
      <c r="H101" s="605"/>
      <c r="I101" s="501" t="s">
        <v>246</v>
      </c>
      <c r="J101" s="501"/>
      <c r="K101" s="501"/>
      <c r="L101" s="501"/>
      <c r="M101" s="501"/>
      <c r="N101" s="498" t="s">
        <v>285</v>
      </c>
      <c r="O101" s="501" t="s">
        <v>111</v>
      </c>
      <c r="P101" s="605"/>
      <c r="Q101" s="605"/>
    </row>
    <row r="102" spans="1:17">
      <c r="A102" s="659"/>
      <c r="B102" s="645"/>
      <c r="C102" s="646"/>
      <c r="D102" s="647"/>
      <c r="E102" s="648"/>
      <c r="F102" s="502"/>
      <c r="G102" s="655"/>
      <c r="H102" s="605"/>
      <c r="I102" s="96">
        <f>'1.1'!B7</f>
        <v>2560</v>
      </c>
      <c r="J102" s="96">
        <f>I102+1</f>
        <v>2561</v>
      </c>
      <c r="K102" s="96">
        <f>J102+1</f>
        <v>2562</v>
      </c>
      <c r="L102" s="96">
        <f t="shared" ref="L102:M102" si="0">K102+1</f>
        <v>2563</v>
      </c>
      <c r="M102" s="96">
        <f t="shared" si="0"/>
        <v>2564</v>
      </c>
      <c r="N102" s="498"/>
      <c r="O102" s="605"/>
      <c r="P102" s="605"/>
      <c r="Q102" s="605"/>
    </row>
    <row r="103" spans="1:17">
      <c r="A103" s="164">
        <v>1</v>
      </c>
      <c r="B103" s="622" t="s">
        <v>575</v>
      </c>
      <c r="C103" s="622"/>
      <c r="D103" s="622"/>
      <c r="E103" s="582" t="s">
        <v>329</v>
      </c>
      <c r="F103" s="621"/>
      <c r="G103" s="582" t="s">
        <v>389</v>
      </c>
      <c r="H103" s="608"/>
      <c r="I103" s="165" t="s">
        <v>214</v>
      </c>
      <c r="J103" s="165" t="s">
        <v>214</v>
      </c>
      <c r="K103" s="165" t="s">
        <v>248</v>
      </c>
      <c r="L103" s="165" t="s">
        <v>573</v>
      </c>
      <c r="M103" s="165" t="s">
        <v>249</v>
      </c>
      <c r="N103" s="191">
        <v>2572</v>
      </c>
      <c r="O103" s="594"/>
      <c r="P103" s="594"/>
      <c r="Q103" s="594"/>
    </row>
    <row r="104" spans="1:17">
      <c r="A104" s="164">
        <v>2</v>
      </c>
      <c r="B104" s="622" t="s">
        <v>398</v>
      </c>
      <c r="C104" s="622"/>
      <c r="D104" s="622"/>
      <c r="E104" s="582" t="s">
        <v>230</v>
      </c>
      <c r="F104" s="621"/>
      <c r="G104" s="582" t="s">
        <v>261</v>
      </c>
      <c r="H104" s="608"/>
      <c r="I104" s="165" t="s">
        <v>214</v>
      </c>
      <c r="J104" s="165" t="s">
        <v>248</v>
      </c>
      <c r="K104" s="165" t="s">
        <v>214</v>
      </c>
      <c r="L104" s="165" t="s">
        <v>214</v>
      </c>
      <c r="M104" s="165" t="s">
        <v>249</v>
      </c>
      <c r="N104" s="192"/>
      <c r="O104" s="594"/>
      <c r="P104" s="594"/>
      <c r="Q104" s="594"/>
    </row>
    <row r="105" spans="1:17">
      <c r="A105" s="164">
        <v>3</v>
      </c>
      <c r="B105" s="622" t="s">
        <v>328</v>
      </c>
      <c r="C105" s="622"/>
      <c r="D105" s="622"/>
      <c r="E105" s="582" t="s">
        <v>230</v>
      </c>
      <c r="F105" s="621"/>
      <c r="G105" s="582" t="s">
        <v>261</v>
      </c>
      <c r="H105" s="608"/>
      <c r="I105" s="165" t="s">
        <v>214</v>
      </c>
      <c r="J105" s="165" t="s">
        <v>248</v>
      </c>
      <c r="K105" s="165" t="s">
        <v>214</v>
      </c>
      <c r="L105" s="165" t="s">
        <v>214</v>
      </c>
      <c r="M105" s="165" t="s">
        <v>249</v>
      </c>
      <c r="N105" s="192"/>
      <c r="O105" s="594"/>
      <c r="P105" s="594"/>
      <c r="Q105" s="594"/>
    </row>
    <row r="106" spans="1:17">
      <c r="A106" s="164">
        <v>4</v>
      </c>
      <c r="B106" s="622" t="s">
        <v>398</v>
      </c>
      <c r="C106" s="622"/>
      <c r="D106" s="622"/>
      <c r="E106" s="582" t="s">
        <v>329</v>
      </c>
      <c r="F106" s="621"/>
      <c r="G106" s="582" t="s">
        <v>389</v>
      </c>
      <c r="H106" s="608"/>
      <c r="I106" s="165" t="s">
        <v>573</v>
      </c>
      <c r="J106" s="165" t="s">
        <v>248</v>
      </c>
      <c r="K106" s="165" t="s">
        <v>214</v>
      </c>
      <c r="L106" s="165" t="s">
        <v>214</v>
      </c>
      <c r="M106" s="165" t="s">
        <v>249</v>
      </c>
      <c r="N106" s="192">
        <v>2563</v>
      </c>
      <c r="O106" s="594" t="s">
        <v>574</v>
      </c>
      <c r="P106" s="594"/>
      <c r="Q106" s="594"/>
    </row>
    <row r="107" spans="1:17">
      <c r="A107" s="164">
        <v>5</v>
      </c>
      <c r="B107" s="622" t="s">
        <v>328</v>
      </c>
      <c r="C107" s="622"/>
      <c r="D107" s="622"/>
      <c r="E107" s="582" t="s">
        <v>230</v>
      </c>
      <c r="F107" s="621"/>
      <c r="G107" s="582" t="s">
        <v>389</v>
      </c>
      <c r="H107" s="608"/>
      <c r="I107" s="165" t="s">
        <v>214</v>
      </c>
      <c r="J107" s="165" t="s">
        <v>248</v>
      </c>
      <c r="K107" s="165" t="s">
        <v>214</v>
      </c>
      <c r="L107" s="165" t="s">
        <v>214</v>
      </c>
      <c r="M107" s="165" t="s">
        <v>249</v>
      </c>
      <c r="N107" s="192" t="s">
        <v>69</v>
      </c>
      <c r="O107" s="594"/>
      <c r="P107" s="594"/>
      <c r="Q107" s="594"/>
    </row>
    <row r="108" spans="1:17">
      <c r="A108" s="164">
        <v>6</v>
      </c>
      <c r="B108" s="622" t="s">
        <v>328</v>
      </c>
      <c r="C108" s="622"/>
      <c r="D108" s="622"/>
      <c r="E108" s="582" t="s">
        <v>230</v>
      </c>
      <c r="F108" s="621"/>
      <c r="G108" s="582" t="s">
        <v>261</v>
      </c>
      <c r="H108" s="608"/>
      <c r="I108" s="165" t="s">
        <v>214</v>
      </c>
      <c r="J108" s="165" t="s">
        <v>248</v>
      </c>
      <c r="K108" s="165" t="s">
        <v>214</v>
      </c>
      <c r="L108" s="165" t="s">
        <v>214</v>
      </c>
      <c r="M108" s="165" t="s">
        <v>249</v>
      </c>
      <c r="N108" s="192"/>
      <c r="O108" s="594"/>
      <c r="P108" s="594"/>
      <c r="Q108" s="594"/>
    </row>
    <row r="109" spans="1:17">
      <c r="A109" s="164">
        <v>7</v>
      </c>
      <c r="B109" s="622" t="s">
        <v>328</v>
      </c>
      <c r="C109" s="622"/>
      <c r="D109" s="622"/>
      <c r="E109" s="582" t="s">
        <v>230</v>
      </c>
      <c r="F109" s="621"/>
      <c r="G109" s="582" t="s">
        <v>261</v>
      </c>
      <c r="H109" s="608"/>
      <c r="I109" s="165" t="s">
        <v>214</v>
      </c>
      <c r="J109" s="165" t="s">
        <v>248</v>
      </c>
      <c r="K109" s="165" t="s">
        <v>214</v>
      </c>
      <c r="L109" s="165" t="s">
        <v>214</v>
      </c>
      <c r="M109" s="165" t="s">
        <v>249</v>
      </c>
      <c r="N109" s="192"/>
      <c r="O109" s="594"/>
      <c r="P109" s="594"/>
      <c r="Q109" s="594"/>
    </row>
    <row r="110" spans="1:17">
      <c r="A110" s="164">
        <v>8</v>
      </c>
      <c r="B110" s="622" t="s">
        <v>328</v>
      </c>
      <c r="C110" s="622"/>
      <c r="D110" s="622"/>
      <c r="E110" s="582" t="s">
        <v>230</v>
      </c>
      <c r="F110" s="621"/>
      <c r="G110" s="582" t="s">
        <v>261</v>
      </c>
      <c r="H110" s="608"/>
      <c r="I110" s="165" t="s">
        <v>214</v>
      </c>
      <c r="J110" s="165" t="s">
        <v>248</v>
      </c>
      <c r="K110" s="165" t="s">
        <v>214</v>
      </c>
      <c r="L110" s="165" t="s">
        <v>214</v>
      </c>
      <c r="M110" s="165" t="s">
        <v>249</v>
      </c>
      <c r="N110" s="192"/>
      <c r="O110" s="594"/>
      <c r="P110" s="594"/>
      <c r="Q110" s="594"/>
    </row>
    <row r="111" spans="1:17">
      <c r="A111" s="164">
        <v>9</v>
      </c>
      <c r="B111" s="622" t="s">
        <v>328</v>
      </c>
      <c r="C111" s="622"/>
      <c r="D111" s="622"/>
      <c r="E111" s="582" t="s">
        <v>230</v>
      </c>
      <c r="F111" s="621"/>
      <c r="G111" s="582" t="s">
        <v>261</v>
      </c>
      <c r="H111" s="608"/>
      <c r="I111" s="165" t="s">
        <v>214</v>
      </c>
      <c r="J111" s="165" t="s">
        <v>248</v>
      </c>
      <c r="K111" s="165" t="s">
        <v>214</v>
      </c>
      <c r="L111" s="165" t="s">
        <v>214</v>
      </c>
      <c r="M111" s="165" t="s">
        <v>249</v>
      </c>
      <c r="N111" s="192"/>
      <c r="O111" s="594"/>
      <c r="P111" s="594"/>
      <c r="Q111" s="594"/>
    </row>
    <row r="112" spans="1:17">
      <c r="A112" s="164">
        <v>10</v>
      </c>
      <c r="B112" s="622" t="s">
        <v>328</v>
      </c>
      <c r="C112" s="622"/>
      <c r="D112" s="622"/>
      <c r="E112" s="582" t="s">
        <v>230</v>
      </c>
      <c r="F112" s="621"/>
      <c r="G112" s="582" t="s">
        <v>261</v>
      </c>
      <c r="H112" s="608"/>
      <c r="I112" s="165" t="s">
        <v>214</v>
      </c>
      <c r="J112" s="165" t="s">
        <v>248</v>
      </c>
      <c r="K112" s="165" t="s">
        <v>214</v>
      </c>
      <c r="L112" s="165" t="s">
        <v>214</v>
      </c>
      <c r="M112" s="165" t="s">
        <v>249</v>
      </c>
      <c r="N112" s="192"/>
      <c r="O112" s="594"/>
      <c r="P112" s="594"/>
      <c r="Q112" s="594"/>
    </row>
    <row r="113" spans="1:17">
      <c r="A113" s="164">
        <v>11</v>
      </c>
      <c r="B113" s="622" t="s">
        <v>328</v>
      </c>
      <c r="C113" s="622"/>
      <c r="D113" s="622"/>
      <c r="E113" s="582" t="s">
        <v>230</v>
      </c>
      <c r="F113" s="621"/>
      <c r="G113" s="582" t="s">
        <v>261</v>
      </c>
      <c r="H113" s="608"/>
      <c r="I113" s="165" t="s">
        <v>214</v>
      </c>
      <c r="J113" s="165" t="s">
        <v>248</v>
      </c>
      <c r="K113" s="165" t="s">
        <v>214</v>
      </c>
      <c r="L113" s="165" t="s">
        <v>214</v>
      </c>
      <c r="M113" s="165" t="s">
        <v>249</v>
      </c>
      <c r="N113" s="192"/>
      <c r="O113" s="594"/>
      <c r="P113" s="594"/>
      <c r="Q113" s="594"/>
    </row>
    <row r="114" spans="1:17">
      <c r="A114" s="164">
        <v>12</v>
      </c>
      <c r="B114" s="622" t="s">
        <v>328</v>
      </c>
      <c r="C114" s="622"/>
      <c r="D114" s="622"/>
      <c r="E114" s="582" t="s">
        <v>230</v>
      </c>
      <c r="F114" s="621"/>
      <c r="G114" s="582" t="s">
        <v>261</v>
      </c>
      <c r="H114" s="608"/>
      <c r="I114" s="165" t="s">
        <v>214</v>
      </c>
      <c r="J114" s="165" t="s">
        <v>248</v>
      </c>
      <c r="K114" s="165" t="s">
        <v>214</v>
      </c>
      <c r="L114" s="165" t="s">
        <v>214</v>
      </c>
      <c r="M114" s="165" t="s">
        <v>249</v>
      </c>
      <c r="N114" s="192"/>
      <c r="O114" s="594"/>
      <c r="P114" s="594"/>
      <c r="Q114" s="594"/>
    </row>
    <row r="115" spans="1:17">
      <c r="A115" s="164">
        <v>13</v>
      </c>
      <c r="B115" s="622" t="s">
        <v>328</v>
      </c>
      <c r="C115" s="622"/>
      <c r="D115" s="622"/>
      <c r="E115" s="582" t="s">
        <v>214</v>
      </c>
      <c r="F115" s="621"/>
      <c r="G115" s="582" t="s">
        <v>261</v>
      </c>
      <c r="H115" s="608"/>
      <c r="I115" s="165" t="s">
        <v>214</v>
      </c>
      <c r="J115" s="165" t="s">
        <v>248</v>
      </c>
      <c r="K115" s="165" t="s">
        <v>214</v>
      </c>
      <c r="L115" s="165" t="s">
        <v>214</v>
      </c>
      <c r="M115" s="165" t="s">
        <v>249</v>
      </c>
      <c r="N115" s="192"/>
      <c r="O115" s="594"/>
      <c r="P115" s="594"/>
      <c r="Q115" s="594"/>
    </row>
    <row r="116" spans="1:17">
      <c r="A116" s="164">
        <v>14</v>
      </c>
      <c r="B116" s="622" t="s">
        <v>328</v>
      </c>
      <c r="C116" s="622"/>
      <c r="D116" s="622"/>
      <c r="E116" s="582" t="s">
        <v>214</v>
      </c>
      <c r="F116" s="621"/>
      <c r="G116" s="582" t="s">
        <v>261</v>
      </c>
      <c r="H116" s="608"/>
      <c r="I116" s="165" t="s">
        <v>214</v>
      </c>
      <c r="J116" s="165" t="s">
        <v>248</v>
      </c>
      <c r="K116" s="165" t="s">
        <v>214</v>
      </c>
      <c r="L116" s="165" t="s">
        <v>214</v>
      </c>
      <c r="M116" s="165" t="s">
        <v>249</v>
      </c>
      <c r="N116" s="192"/>
      <c r="O116" s="594"/>
      <c r="P116" s="594"/>
      <c r="Q116" s="594"/>
    </row>
    <row r="117" spans="1:17">
      <c r="A117" s="164">
        <v>15</v>
      </c>
      <c r="B117" s="622" t="s">
        <v>328</v>
      </c>
      <c r="C117" s="622"/>
      <c r="D117" s="622"/>
      <c r="E117" s="582" t="s">
        <v>214</v>
      </c>
      <c r="F117" s="621"/>
      <c r="G117" s="582" t="s">
        <v>261</v>
      </c>
      <c r="H117" s="608"/>
      <c r="I117" s="165" t="s">
        <v>214</v>
      </c>
      <c r="J117" s="165" t="s">
        <v>248</v>
      </c>
      <c r="K117" s="165" t="s">
        <v>214</v>
      </c>
      <c r="L117" s="165" t="s">
        <v>214</v>
      </c>
      <c r="M117" s="165" t="s">
        <v>249</v>
      </c>
      <c r="N117" s="192" t="s">
        <v>69</v>
      </c>
      <c r="O117" s="594"/>
      <c r="P117" s="594"/>
      <c r="Q117" s="594"/>
    </row>
    <row r="118" spans="1:17">
      <c r="A118" s="157"/>
    </row>
    <row r="119" spans="1:17">
      <c r="A119" s="574" t="s">
        <v>64</v>
      </c>
      <c r="B119" s="575"/>
      <c r="C119" s="576"/>
    </row>
    <row r="120" spans="1:17">
      <c r="A120" s="17"/>
      <c r="B120" s="166" t="s">
        <v>281</v>
      </c>
      <c r="C120" s="167"/>
      <c r="D120" s="167"/>
    </row>
    <row r="121" spans="1:17" ht="42">
      <c r="A121" s="17"/>
      <c r="B121" s="606" t="s">
        <v>250</v>
      </c>
      <c r="C121" s="509"/>
      <c r="D121" s="509"/>
      <c r="E121" s="509"/>
      <c r="F121" s="168" t="s">
        <v>251</v>
      </c>
      <c r="G121" s="169" t="s">
        <v>252</v>
      </c>
      <c r="H121" s="606" t="s">
        <v>111</v>
      </c>
      <c r="I121" s="509"/>
      <c r="J121" s="509"/>
    </row>
    <row r="122" spans="1:17">
      <c r="A122" s="17"/>
      <c r="B122" s="628" t="s">
        <v>253</v>
      </c>
      <c r="C122" s="456"/>
      <c r="D122" s="456"/>
      <c r="E122" s="456"/>
      <c r="F122" s="367">
        <v>10000</v>
      </c>
      <c r="G122" s="170" t="s">
        <v>258</v>
      </c>
      <c r="H122" s="607"/>
      <c r="I122" s="594"/>
      <c r="J122" s="594"/>
    </row>
    <row r="123" spans="1:17">
      <c r="A123" s="17"/>
      <c r="B123" s="629" t="s">
        <v>254</v>
      </c>
      <c r="C123" s="630"/>
      <c r="D123" s="456"/>
      <c r="E123" s="456"/>
      <c r="F123" s="367">
        <v>50000</v>
      </c>
      <c r="G123" s="170" t="s">
        <v>258</v>
      </c>
      <c r="H123" s="607"/>
      <c r="I123" s="594"/>
      <c r="J123" s="594"/>
    </row>
    <row r="124" spans="1:17">
      <c r="A124" s="17"/>
      <c r="B124" s="629" t="s">
        <v>255</v>
      </c>
      <c r="C124" s="630"/>
      <c r="D124" s="456"/>
      <c r="E124" s="456"/>
      <c r="F124" s="367">
        <v>500000</v>
      </c>
      <c r="G124" s="170" t="s">
        <v>258</v>
      </c>
      <c r="H124" s="607"/>
      <c r="I124" s="594"/>
      <c r="J124" s="594"/>
    </row>
    <row r="125" spans="1:17">
      <c r="A125" s="17"/>
      <c r="B125" s="629" t="s">
        <v>256</v>
      </c>
      <c r="C125" s="630"/>
      <c r="D125" s="456"/>
      <c r="E125" s="456"/>
      <c r="F125" s="367">
        <v>4000000</v>
      </c>
      <c r="G125" s="170" t="s">
        <v>258</v>
      </c>
      <c r="H125" s="607"/>
      <c r="I125" s="594"/>
      <c r="J125" s="594"/>
    </row>
    <row r="126" spans="1:17">
      <c r="A126" s="17"/>
      <c r="B126" s="604" t="s">
        <v>257</v>
      </c>
      <c r="C126" s="456"/>
      <c r="D126" s="456"/>
      <c r="E126" s="456"/>
      <c r="F126" s="367">
        <v>10000</v>
      </c>
      <c r="G126" s="170" t="s">
        <v>258</v>
      </c>
      <c r="H126" s="607"/>
      <c r="I126" s="594"/>
      <c r="J126" s="594"/>
    </row>
    <row r="127" spans="1:17">
      <c r="A127" s="17"/>
      <c r="B127" s="171"/>
      <c r="C127" s="39"/>
      <c r="D127" s="39"/>
      <c r="E127" s="39"/>
      <c r="F127" s="172"/>
      <c r="G127" s="173"/>
      <c r="H127" s="174"/>
      <c r="I127" s="39"/>
      <c r="J127" s="39"/>
    </row>
    <row r="128" spans="1:17">
      <c r="A128" s="17"/>
      <c r="B128" s="602" t="s">
        <v>291</v>
      </c>
      <c r="C128" s="603"/>
      <c r="D128" s="603"/>
      <c r="E128" s="603"/>
      <c r="F128" s="603"/>
      <c r="G128" s="603"/>
      <c r="H128" s="603"/>
      <c r="I128" s="603"/>
      <c r="J128" s="603"/>
      <c r="K128" s="603"/>
    </row>
    <row r="129" spans="1:15">
      <c r="A129" s="501" t="s">
        <v>290</v>
      </c>
      <c r="B129" s="605"/>
      <c r="C129" s="605"/>
      <c r="D129" s="605"/>
      <c r="E129" s="605"/>
      <c r="F129" s="501" t="s">
        <v>295</v>
      </c>
      <c r="G129" s="501"/>
      <c r="H129" s="501"/>
      <c r="I129" s="501"/>
      <c r="J129" s="501"/>
      <c r="K129" s="100"/>
    </row>
    <row r="130" spans="1:15">
      <c r="A130" s="605"/>
      <c r="B130" s="605"/>
      <c r="C130" s="605"/>
      <c r="D130" s="605"/>
      <c r="E130" s="605"/>
      <c r="F130" s="175">
        <f>I102</f>
        <v>2560</v>
      </c>
      <c r="G130" s="176">
        <f>F130+1</f>
        <v>2561</v>
      </c>
      <c r="H130" s="176">
        <f t="shared" ref="H130:J130" si="1">G130+1</f>
        <v>2562</v>
      </c>
      <c r="I130" s="176">
        <f t="shared" si="1"/>
        <v>2563</v>
      </c>
      <c r="J130" s="176">
        <f t="shared" si="1"/>
        <v>2564</v>
      </c>
    </row>
    <row r="131" spans="1:15">
      <c r="A131" s="97">
        <v>1</v>
      </c>
      <c r="B131" s="604" t="s">
        <v>292</v>
      </c>
      <c r="C131" s="456"/>
      <c r="D131" s="456"/>
      <c r="E131" s="456"/>
      <c r="F131" s="177">
        <v>5</v>
      </c>
      <c r="G131" s="177">
        <v>3</v>
      </c>
      <c r="H131" s="177">
        <v>5</v>
      </c>
      <c r="I131" s="177">
        <v>5</v>
      </c>
      <c r="J131" s="177">
        <v>5</v>
      </c>
    </row>
    <row r="132" spans="1:15" ht="37.5" customHeight="1">
      <c r="A132" s="97">
        <v>2</v>
      </c>
      <c r="B132" s="604" t="s">
        <v>298</v>
      </c>
      <c r="C132" s="456"/>
      <c r="D132" s="456"/>
      <c r="E132" s="456"/>
      <c r="F132" s="177">
        <v>0</v>
      </c>
      <c r="G132" s="177">
        <v>1</v>
      </c>
      <c r="H132" s="177">
        <v>0</v>
      </c>
      <c r="I132" s="177">
        <v>0</v>
      </c>
      <c r="J132" s="177">
        <v>0</v>
      </c>
    </row>
    <row r="133" spans="1:15">
      <c r="A133" s="97">
        <v>3</v>
      </c>
      <c r="B133" s="604" t="s">
        <v>296</v>
      </c>
      <c r="C133" s="456"/>
      <c r="D133" s="456"/>
      <c r="E133" s="456"/>
      <c r="F133" s="177">
        <v>0</v>
      </c>
      <c r="G133" s="177">
        <v>0</v>
      </c>
      <c r="H133" s="177">
        <v>1</v>
      </c>
      <c r="I133" s="177">
        <v>0</v>
      </c>
      <c r="J133" s="177">
        <v>0</v>
      </c>
    </row>
    <row r="134" spans="1:15" ht="22.15" customHeight="1">
      <c r="A134" s="97">
        <v>4</v>
      </c>
      <c r="B134" s="604" t="s">
        <v>297</v>
      </c>
      <c r="C134" s="456"/>
      <c r="D134" s="456"/>
      <c r="E134" s="456"/>
      <c r="F134" s="177">
        <v>0</v>
      </c>
      <c r="G134" s="177">
        <v>0</v>
      </c>
      <c r="H134" s="177">
        <v>0</v>
      </c>
      <c r="I134" s="177">
        <v>1</v>
      </c>
      <c r="J134" s="177">
        <v>0</v>
      </c>
    </row>
    <row r="135" spans="1:15" ht="23.45" customHeight="1">
      <c r="A135" s="97">
        <v>5</v>
      </c>
      <c r="B135" s="604" t="s">
        <v>294</v>
      </c>
      <c r="C135" s="456"/>
      <c r="D135" s="456"/>
      <c r="E135" s="456"/>
      <c r="F135" s="177">
        <v>0</v>
      </c>
      <c r="G135" s="177">
        <v>0</v>
      </c>
      <c r="H135" s="177">
        <v>1</v>
      </c>
      <c r="I135" s="177">
        <v>0</v>
      </c>
      <c r="J135" s="177">
        <v>1</v>
      </c>
    </row>
    <row r="136" spans="1:15" ht="23.45" customHeight="1">
      <c r="A136" s="97">
        <v>6</v>
      </c>
      <c r="B136" s="604" t="s">
        <v>293</v>
      </c>
      <c r="C136" s="456"/>
      <c r="D136" s="456"/>
      <c r="E136" s="456"/>
      <c r="F136" s="177">
        <v>0</v>
      </c>
      <c r="G136" s="177">
        <v>3</v>
      </c>
      <c r="H136" s="177">
        <v>2</v>
      </c>
      <c r="I136" s="177">
        <v>1</v>
      </c>
      <c r="J136" s="177">
        <v>2</v>
      </c>
    </row>
    <row r="137" spans="1:15" ht="23.45" customHeight="1">
      <c r="A137" s="97">
        <v>7</v>
      </c>
      <c r="B137" s="604" t="s">
        <v>299</v>
      </c>
      <c r="C137" s="456"/>
      <c r="D137" s="456"/>
      <c r="E137" s="456"/>
      <c r="F137" s="177">
        <v>0</v>
      </c>
      <c r="G137" s="177">
        <v>0</v>
      </c>
      <c r="H137" s="177">
        <v>0</v>
      </c>
      <c r="I137" s="177">
        <v>0</v>
      </c>
      <c r="J137" s="177">
        <v>0</v>
      </c>
    </row>
    <row r="138" spans="1:15" ht="38.450000000000003" customHeight="1">
      <c r="A138" s="509" t="s">
        <v>300</v>
      </c>
      <c r="B138" s="509"/>
      <c r="C138" s="509"/>
      <c r="D138" s="509"/>
      <c r="E138" s="509"/>
      <c r="F138" s="178" t="str">
        <f>IF((F131-F132-F133-F134-F135+F136) &gt;=5,"ผ่านเกณฑ์","ไม่ผ่านเกณฑ์")</f>
        <v>ผ่านเกณฑ์</v>
      </c>
      <c r="G138" s="178" t="str">
        <f t="shared" ref="G138:J138" si="2">IF((G131-G132-G133-G134-G135+G136) &gt;=5,"ผ่านเกณฑ์","ไม่ผ่านเกณฑ์")</f>
        <v>ผ่านเกณฑ์</v>
      </c>
      <c r="H138" s="178" t="str">
        <f t="shared" si="2"/>
        <v>ผ่านเกณฑ์</v>
      </c>
      <c r="I138" s="178" t="str">
        <f t="shared" si="2"/>
        <v>ผ่านเกณฑ์</v>
      </c>
      <c r="J138" s="178" t="str">
        <f t="shared" si="2"/>
        <v>ผ่านเกณฑ์</v>
      </c>
    </row>
    <row r="139" spans="1:15" ht="22.15" customHeight="1">
      <c r="A139" s="179"/>
      <c r="B139" s="179"/>
      <c r="C139" s="179"/>
      <c r="D139" s="179"/>
      <c r="E139" s="179"/>
      <c r="F139" s="180"/>
      <c r="G139" s="180"/>
      <c r="H139" s="180"/>
      <c r="I139" s="180"/>
      <c r="J139" s="180"/>
    </row>
    <row r="140" spans="1:15" ht="23.45" customHeight="1">
      <c r="A140" s="157"/>
      <c r="B140" s="181" t="s">
        <v>259</v>
      </c>
      <c r="C140" s="181"/>
      <c r="D140" s="181"/>
      <c r="E140" s="2"/>
    </row>
    <row r="141" spans="1:15" ht="23.45" customHeight="1">
      <c r="A141" s="17"/>
      <c r="B141" s="635" t="str">
        <f>"ภาระงานอาจารย์ประจำหลักสูตรปีการศึกษา "&amp;I102</f>
        <v>ภาระงานอาจารย์ประจำหลักสูตรปีการศึกษา 2560</v>
      </c>
      <c r="C141" s="635"/>
      <c r="D141" s="635"/>
      <c r="E141" s="636"/>
      <c r="F141" s="182"/>
      <c r="G141" s="182"/>
    </row>
    <row r="142" spans="1:15" ht="71.25" customHeight="1">
      <c r="A142" s="183" t="s">
        <v>222</v>
      </c>
      <c r="B142" s="639" t="s">
        <v>260</v>
      </c>
      <c r="C142" s="640"/>
      <c r="D142" s="640"/>
      <c r="E142" s="633" t="s">
        <v>400</v>
      </c>
      <c r="F142" s="515"/>
      <c r="G142" s="168" t="s">
        <v>288</v>
      </c>
      <c r="H142" s="633" t="s">
        <v>287</v>
      </c>
      <c r="I142" s="509"/>
      <c r="J142" s="637" t="s">
        <v>399</v>
      </c>
      <c r="K142" s="638"/>
      <c r="L142" s="633" t="s">
        <v>401</v>
      </c>
      <c r="M142" s="634"/>
      <c r="N142" s="633" t="s">
        <v>402</v>
      </c>
      <c r="O142" s="634"/>
    </row>
    <row r="143" spans="1:15" ht="23.45" customHeight="1">
      <c r="A143" s="184">
        <v>1</v>
      </c>
      <c r="B143" s="587" t="str">
        <f>B103</f>
        <v>นายร้รั้นี้น</v>
      </c>
      <c r="C143" s="587"/>
      <c r="D143" s="587"/>
      <c r="E143" s="582">
        <v>15</v>
      </c>
      <c r="F143" s="582"/>
      <c r="G143" s="185">
        <v>2</v>
      </c>
      <c r="H143" s="588">
        <v>2</v>
      </c>
      <c r="I143" s="589"/>
      <c r="J143" s="582">
        <v>1</v>
      </c>
      <c r="K143" s="582"/>
      <c r="L143" s="582">
        <v>0</v>
      </c>
      <c r="M143" s="582"/>
      <c r="N143" s="582">
        <v>0</v>
      </c>
      <c r="O143" s="582"/>
    </row>
    <row r="144" spans="1:15" ht="23.45" customHeight="1">
      <c r="A144" s="184">
        <v>2</v>
      </c>
      <c r="B144" s="587" t="str">
        <f t="shared" ref="B144:B157" si="3">B104</f>
        <v>นาง</v>
      </c>
      <c r="C144" s="587"/>
      <c r="D144" s="587"/>
      <c r="E144" s="582">
        <v>17</v>
      </c>
      <c r="F144" s="582"/>
      <c r="G144" s="185">
        <v>2</v>
      </c>
      <c r="H144" s="588">
        <v>2</v>
      </c>
      <c r="I144" s="589"/>
      <c r="J144" s="582">
        <v>1</v>
      </c>
      <c r="K144" s="582"/>
      <c r="L144" s="582">
        <v>0</v>
      </c>
      <c r="M144" s="582"/>
      <c r="N144" s="582">
        <v>0</v>
      </c>
      <c r="O144" s="582"/>
    </row>
    <row r="145" spans="1:15" ht="23.45" customHeight="1">
      <c r="A145" s="184">
        <v>3</v>
      </c>
      <c r="B145" s="587" t="str">
        <f t="shared" si="3"/>
        <v>นาย</v>
      </c>
      <c r="C145" s="587"/>
      <c r="D145" s="587"/>
      <c r="E145" s="582">
        <v>17</v>
      </c>
      <c r="F145" s="582"/>
      <c r="G145" s="185">
        <v>2</v>
      </c>
      <c r="H145" s="588">
        <v>3</v>
      </c>
      <c r="I145" s="589"/>
      <c r="J145" s="582">
        <v>1</v>
      </c>
      <c r="K145" s="582"/>
      <c r="L145" s="582">
        <v>0</v>
      </c>
      <c r="M145" s="582"/>
      <c r="N145" s="582">
        <v>0</v>
      </c>
      <c r="O145" s="582"/>
    </row>
    <row r="146" spans="1:15" ht="23.45" customHeight="1">
      <c r="A146" s="184">
        <v>4</v>
      </c>
      <c r="B146" s="587" t="str">
        <f t="shared" si="3"/>
        <v>นาง</v>
      </c>
      <c r="C146" s="587"/>
      <c r="D146" s="587"/>
      <c r="E146" s="582" t="s">
        <v>301</v>
      </c>
      <c r="F146" s="582"/>
      <c r="G146" s="185">
        <v>2</v>
      </c>
      <c r="H146" s="588">
        <v>4</v>
      </c>
      <c r="I146" s="589"/>
      <c r="J146" s="582">
        <v>1</v>
      </c>
      <c r="K146" s="582"/>
      <c r="L146" s="582">
        <v>0</v>
      </c>
      <c r="M146" s="582"/>
      <c r="N146" s="582">
        <v>0</v>
      </c>
      <c r="O146" s="582"/>
    </row>
    <row r="147" spans="1:15" ht="23.45" customHeight="1">
      <c r="A147" s="184">
        <v>5</v>
      </c>
      <c r="B147" s="587" t="str">
        <f t="shared" si="3"/>
        <v>นาย</v>
      </c>
      <c r="C147" s="587"/>
      <c r="D147" s="587"/>
      <c r="E147" s="582">
        <v>4</v>
      </c>
      <c r="F147" s="582"/>
      <c r="G147" s="185">
        <v>2</v>
      </c>
      <c r="H147" s="588">
        <v>5</v>
      </c>
      <c r="I147" s="589"/>
      <c r="J147" s="582">
        <v>1</v>
      </c>
      <c r="K147" s="582"/>
      <c r="L147" s="582">
        <v>0</v>
      </c>
      <c r="M147" s="582"/>
      <c r="N147" s="582">
        <v>0</v>
      </c>
      <c r="O147" s="582"/>
    </row>
    <row r="148" spans="1:15" ht="23.45" customHeight="1">
      <c r="A148" s="184">
        <v>6</v>
      </c>
      <c r="B148" s="587" t="str">
        <f t="shared" si="3"/>
        <v>นาย</v>
      </c>
      <c r="C148" s="587"/>
      <c r="D148" s="587"/>
      <c r="E148" s="582">
        <v>4</v>
      </c>
      <c r="F148" s="582"/>
      <c r="G148" s="185">
        <v>2</v>
      </c>
      <c r="H148" s="588">
        <v>5</v>
      </c>
      <c r="I148" s="589"/>
      <c r="J148" s="582">
        <v>1</v>
      </c>
      <c r="K148" s="582"/>
      <c r="L148" s="582">
        <v>0</v>
      </c>
      <c r="M148" s="582"/>
      <c r="N148" s="582">
        <v>0</v>
      </c>
      <c r="O148" s="582"/>
    </row>
    <row r="149" spans="1:15" ht="23.45" customHeight="1">
      <c r="A149" s="184">
        <v>7</v>
      </c>
      <c r="B149" s="587" t="str">
        <f t="shared" si="3"/>
        <v>นาย</v>
      </c>
      <c r="C149" s="587"/>
      <c r="D149" s="587"/>
      <c r="E149" s="582">
        <v>4</v>
      </c>
      <c r="F149" s="582"/>
      <c r="G149" s="185">
        <v>2</v>
      </c>
      <c r="H149" s="588">
        <v>5</v>
      </c>
      <c r="I149" s="589"/>
      <c r="J149" s="582">
        <v>1</v>
      </c>
      <c r="K149" s="582"/>
      <c r="L149" s="582">
        <v>0</v>
      </c>
      <c r="M149" s="582"/>
      <c r="N149" s="582">
        <v>0</v>
      </c>
      <c r="O149" s="582"/>
    </row>
    <row r="150" spans="1:15" ht="23.45" customHeight="1">
      <c r="A150" s="184">
        <v>8</v>
      </c>
      <c r="B150" s="587" t="str">
        <f t="shared" si="3"/>
        <v>นาย</v>
      </c>
      <c r="C150" s="587"/>
      <c r="D150" s="587"/>
      <c r="E150" s="582">
        <v>4</v>
      </c>
      <c r="F150" s="582"/>
      <c r="G150" s="185">
        <v>2</v>
      </c>
      <c r="H150" s="588">
        <v>5</v>
      </c>
      <c r="I150" s="589"/>
      <c r="J150" s="582">
        <v>1</v>
      </c>
      <c r="K150" s="582"/>
      <c r="L150" s="582">
        <v>0</v>
      </c>
      <c r="M150" s="582"/>
      <c r="N150" s="582">
        <v>0</v>
      </c>
      <c r="O150" s="582"/>
    </row>
    <row r="151" spans="1:15" ht="23.45" customHeight="1">
      <c r="A151" s="184">
        <v>9</v>
      </c>
      <c r="B151" s="587" t="str">
        <f t="shared" si="3"/>
        <v>นาย</v>
      </c>
      <c r="C151" s="587"/>
      <c r="D151" s="587"/>
      <c r="E151" s="582">
        <v>4</v>
      </c>
      <c r="F151" s="582"/>
      <c r="G151" s="185">
        <v>2</v>
      </c>
      <c r="H151" s="588">
        <v>5</v>
      </c>
      <c r="I151" s="589"/>
      <c r="J151" s="582">
        <v>1</v>
      </c>
      <c r="K151" s="582"/>
      <c r="L151" s="582">
        <v>0</v>
      </c>
      <c r="M151" s="582"/>
      <c r="N151" s="582">
        <v>0</v>
      </c>
      <c r="O151" s="582"/>
    </row>
    <row r="152" spans="1:15" ht="23.45" customHeight="1">
      <c r="A152" s="184">
        <v>10</v>
      </c>
      <c r="B152" s="587" t="str">
        <f t="shared" si="3"/>
        <v>นาย</v>
      </c>
      <c r="C152" s="587"/>
      <c r="D152" s="587"/>
      <c r="E152" s="582">
        <v>4</v>
      </c>
      <c r="F152" s="582"/>
      <c r="G152" s="185">
        <v>2</v>
      </c>
      <c r="H152" s="588">
        <v>5</v>
      </c>
      <c r="I152" s="589"/>
      <c r="J152" s="582">
        <v>1</v>
      </c>
      <c r="K152" s="582"/>
      <c r="L152" s="582">
        <v>0</v>
      </c>
      <c r="M152" s="582"/>
      <c r="N152" s="582">
        <v>0</v>
      </c>
      <c r="O152" s="582"/>
    </row>
    <row r="153" spans="1:15" ht="23.45" customHeight="1">
      <c r="A153" s="184">
        <v>11</v>
      </c>
      <c r="B153" s="587" t="str">
        <f t="shared" si="3"/>
        <v>นาย</v>
      </c>
      <c r="C153" s="587"/>
      <c r="D153" s="587"/>
      <c r="E153" s="582">
        <v>3</v>
      </c>
      <c r="F153" s="582"/>
      <c r="G153" s="185">
        <v>2</v>
      </c>
      <c r="H153" s="588">
        <v>3</v>
      </c>
      <c r="I153" s="589"/>
      <c r="J153" s="582">
        <v>1</v>
      </c>
      <c r="K153" s="582"/>
      <c r="L153" s="582">
        <v>0</v>
      </c>
      <c r="M153" s="582"/>
      <c r="N153" s="582">
        <v>0</v>
      </c>
      <c r="O153" s="582"/>
    </row>
    <row r="154" spans="1:15" ht="23.45" customHeight="1">
      <c r="A154" s="184">
        <v>12</v>
      </c>
      <c r="B154" s="587" t="str">
        <f t="shared" si="3"/>
        <v>นาย</v>
      </c>
      <c r="C154" s="587"/>
      <c r="D154" s="587"/>
      <c r="E154" s="582">
        <v>12</v>
      </c>
      <c r="F154" s="582"/>
      <c r="G154" s="185">
        <v>2</v>
      </c>
      <c r="H154" s="588">
        <v>3</v>
      </c>
      <c r="I154" s="589"/>
      <c r="J154" s="582">
        <v>1</v>
      </c>
      <c r="K154" s="582"/>
      <c r="L154" s="582">
        <v>0</v>
      </c>
      <c r="M154" s="582"/>
      <c r="N154" s="582">
        <v>0</v>
      </c>
      <c r="O154" s="582"/>
    </row>
    <row r="155" spans="1:15" ht="23.45" customHeight="1">
      <c r="A155" s="184">
        <v>13</v>
      </c>
      <c r="B155" s="587" t="str">
        <f t="shared" si="3"/>
        <v>นาย</v>
      </c>
      <c r="C155" s="587"/>
      <c r="D155" s="587"/>
      <c r="E155" s="582">
        <v>13</v>
      </c>
      <c r="F155" s="582"/>
      <c r="G155" s="185">
        <v>2</v>
      </c>
      <c r="H155" s="588">
        <v>4</v>
      </c>
      <c r="I155" s="589"/>
      <c r="J155" s="582">
        <v>1</v>
      </c>
      <c r="K155" s="582"/>
      <c r="L155" s="582">
        <v>0</v>
      </c>
      <c r="M155" s="582"/>
      <c r="N155" s="582">
        <v>0</v>
      </c>
      <c r="O155" s="582"/>
    </row>
    <row r="156" spans="1:15" ht="23.45" customHeight="1">
      <c r="A156" s="184">
        <v>14</v>
      </c>
      <c r="B156" s="587" t="str">
        <f t="shared" si="3"/>
        <v>นาย</v>
      </c>
      <c r="C156" s="587"/>
      <c r="D156" s="587"/>
      <c r="E156" s="582">
        <v>0</v>
      </c>
      <c r="F156" s="582"/>
      <c r="G156" s="185">
        <v>2</v>
      </c>
      <c r="H156" s="588">
        <v>2</v>
      </c>
      <c r="I156" s="589"/>
      <c r="J156" s="582">
        <v>1</v>
      </c>
      <c r="K156" s="582"/>
      <c r="L156" s="582">
        <v>0</v>
      </c>
      <c r="M156" s="582"/>
      <c r="N156" s="582">
        <v>0</v>
      </c>
      <c r="O156" s="582"/>
    </row>
    <row r="157" spans="1:15" ht="23.45" customHeight="1">
      <c r="A157" s="184">
        <v>15</v>
      </c>
      <c r="B157" s="587" t="str">
        <f t="shared" si="3"/>
        <v>นาย</v>
      </c>
      <c r="C157" s="587"/>
      <c r="D157" s="587"/>
      <c r="E157" s="582">
        <v>0</v>
      </c>
      <c r="F157" s="582"/>
      <c r="G157" s="185">
        <v>2</v>
      </c>
      <c r="H157" s="588">
        <v>5</v>
      </c>
      <c r="I157" s="589"/>
      <c r="J157" s="582">
        <v>1</v>
      </c>
      <c r="K157" s="582"/>
      <c r="L157" s="582">
        <v>0</v>
      </c>
      <c r="M157" s="582"/>
      <c r="N157" s="582">
        <v>0</v>
      </c>
      <c r="O157" s="582"/>
    </row>
    <row r="158" spans="1:15" ht="23.45" customHeight="1">
      <c r="A158" s="17"/>
      <c r="B158" s="171"/>
      <c r="C158" s="100"/>
      <c r="D158" s="100"/>
      <c r="E158" s="100"/>
      <c r="F158" s="172"/>
      <c r="G158" s="173"/>
      <c r="H158" s="174"/>
      <c r="I158" s="39"/>
      <c r="J158" s="39"/>
    </row>
    <row r="159" spans="1:15">
      <c r="A159" s="574" t="s">
        <v>66</v>
      </c>
      <c r="B159" s="575"/>
      <c r="C159" s="575"/>
      <c r="D159" s="576"/>
    </row>
    <row r="160" spans="1:15">
      <c r="A160" s="355"/>
    </row>
    <row r="161" spans="1:19" ht="36" customHeight="1">
      <c r="A161" s="627" t="s">
        <v>108</v>
      </c>
      <c r="B161" s="625" t="s">
        <v>263</v>
      </c>
      <c r="C161" s="626"/>
      <c r="D161" s="625" t="s">
        <v>264</v>
      </c>
      <c r="E161" s="626"/>
      <c r="F161" s="632" t="s">
        <v>265</v>
      </c>
      <c r="G161" s="626"/>
      <c r="H161" s="631" t="s">
        <v>266</v>
      </c>
      <c r="I161" s="626"/>
      <c r="J161" s="625" t="s">
        <v>267</v>
      </c>
      <c r="K161" s="626"/>
      <c r="L161" s="625" t="s">
        <v>268</v>
      </c>
      <c r="M161" s="666"/>
      <c r="N161" s="672" t="s">
        <v>269</v>
      </c>
      <c r="O161" s="625" t="s">
        <v>270</v>
      </c>
      <c r="P161" s="666"/>
      <c r="Q161" s="626"/>
      <c r="R161" s="625" t="s">
        <v>271</v>
      </c>
      <c r="S161" s="626"/>
    </row>
    <row r="162" spans="1:19" ht="60.75" customHeight="1">
      <c r="A162" s="627"/>
      <c r="B162" s="625"/>
      <c r="C162" s="626"/>
      <c r="D162" s="625"/>
      <c r="E162" s="626"/>
      <c r="F162" s="626"/>
      <c r="G162" s="626"/>
      <c r="H162" s="626"/>
      <c r="I162" s="626"/>
      <c r="J162" s="626"/>
      <c r="K162" s="626"/>
      <c r="L162" s="155" t="s">
        <v>272</v>
      </c>
      <c r="M162" s="155" t="s">
        <v>273</v>
      </c>
      <c r="N162" s="666"/>
      <c r="O162" s="627" t="s">
        <v>274</v>
      </c>
      <c r="P162" s="626"/>
      <c r="Q162" s="156" t="s">
        <v>251</v>
      </c>
      <c r="R162" s="626"/>
      <c r="S162" s="626"/>
    </row>
    <row r="163" spans="1:19" ht="27" customHeight="1">
      <c r="A163" s="186">
        <v>1</v>
      </c>
      <c r="B163" s="593" t="s">
        <v>275</v>
      </c>
      <c r="C163" s="594"/>
      <c r="D163" s="593" t="s">
        <v>276</v>
      </c>
      <c r="E163" s="594"/>
      <c r="F163" s="595" t="s">
        <v>277</v>
      </c>
      <c r="G163" s="456"/>
      <c r="H163" s="595" t="s">
        <v>278</v>
      </c>
      <c r="I163" s="456"/>
      <c r="J163" s="624" t="s">
        <v>279</v>
      </c>
      <c r="K163" s="594"/>
      <c r="L163" s="90">
        <v>42795</v>
      </c>
      <c r="M163" s="90">
        <v>42800</v>
      </c>
      <c r="N163" s="55">
        <f>M163-L163+1</f>
        <v>6</v>
      </c>
      <c r="O163" s="592" t="s">
        <v>280</v>
      </c>
      <c r="P163" s="456"/>
      <c r="Q163" s="102"/>
      <c r="R163" s="623"/>
      <c r="S163" s="594"/>
    </row>
    <row r="164" spans="1:19">
      <c r="A164" s="186">
        <v>2</v>
      </c>
      <c r="B164" s="593" t="s">
        <v>275</v>
      </c>
      <c r="C164" s="594"/>
      <c r="D164" s="593" t="s">
        <v>276</v>
      </c>
      <c r="E164" s="594"/>
      <c r="F164" s="595" t="s">
        <v>284</v>
      </c>
      <c r="G164" s="456"/>
      <c r="H164" s="595" t="s">
        <v>278</v>
      </c>
      <c r="I164" s="456"/>
      <c r="J164" s="624" t="s">
        <v>279</v>
      </c>
      <c r="K164" s="594"/>
      <c r="L164" s="90">
        <v>42795</v>
      </c>
      <c r="M164" s="90">
        <v>42801</v>
      </c>
      <c r="N164" s="55">
        <f t="shared" ref="N164:N200" si="4">M164-L164+1</f>
        <v>7</v>
      </c>
      <c r="O164" s="592" t="s">
        <v>280</v>
      </c>
      <c r="P164" s="456"/>
      <c r="Q164" s="102"/>
      <c r="R164" s="623"/>
      <c r="S164" s="594"/>
    </row>
    <row r="165" spans="1:19">
      <c r="A165" s="186">
        <v>3</v>
      </c>
      <c r="B165" s="593" t="s">
        <v>275</v>
      </c>
      <c r="C165" s="594"/>
      <c r="D165" s="593" t="s">
        <v>276</v>
      </c>
      <c r="E165" s="594"/>
      <c r="F165" s="595" t="s">
        <v>282</v>
      </c>
      <c r="G165" s="456"/>
      <c r="H165" s="595" t="s">
        <v>278</v>
      </c>
      <c r="I165" s="456"/>
      <c r="J165" s="624" t="s">
        <v>279</v>
      </c>
      <c r="K165" s="594"/>
      <c r="L165" s="90">
        <v>42795</v>
      </c>
      <c r="M165" s="90">
        <v>42800</v>
      </c>
      <c r="N165" s="55">
        <f t="shared" si="4"/>
        <v>6</v>
      </c>
      <c r="O165" s="592" t="s">
        <v>280</v>
      </c>
      <c r="P165" s="456"/>
      <c r="Q165" s="102"/>
      <c r="R165" s="623"/>
      <c r="S165" s="594"/>
    </row>
    <row r="166" spans="1:19">
      <c r="A166" s="186">
        <v>4</v>
      </c>
      <c r="B166" s="593" t="s">
        <v>275</v>
      </c>
      <c r="C166" s="594"/>
      <c r="D166" s="593" t="s">
        <v>276</v>
      </c>
      <c r="E166" s="594"/>
      <c r="F166" s="595" t="s">
        <v>282</v>
      </c>
      <c r="G166" s="456"/>
      <c r="H166" s="595" t="s">
        <v>278</v>
      </c>
      <c r="I166" s="456"/>
      <c r="J166" s="624" t="s">
        <v>279</v>
      </c>
      <c r="K166" s="594"/>
      <c r="L166" s="90">
        <v>42795</v>
      </c>
      <c r="M166" s="90">
        <v>42800</v>
      </c>
      <c r="N166" s="55">
        <f t="shared" si="4"/>
        <v>6</v>
      </c>
      <c r="O166" s="592" t="s">
        <v>280</v>
      </c>
      <c r="P166" s="456"/>
      <c r="Q166" s="102"/>
      <c r="R166" s="623"/>
      <c r="S166" s="594"/>
    </row>
    <row r="167" spans="1:19">
      <c r="A167" s="186">
        <v>5</v>
      </c>
      <c r="B167" s="593" t="s">
        <v>275</v>
      </c>
      <c r="C167" s="594"/>
      <c r="D167" s="593" t="s">
        <v>276</v>
      </c>
      <c r="E167" s="594"/>
      <c r="F167" s="595" t="s">
        <v>282</v>
      </c>
      <c r="G167" s="456"/>
      <c r="H167" s="595" t="s">
        <v>278</v>
      </c>
      <c r="I167" s="456"/>
      <c r="J167" s="624" t="s">
        <v>279</v>
      </c>
      <c r="K167" s="594"/>
      <c r="L167" s="90">
        <v>42795</v>
      </c>
      <c r="M167" s="90">
        <v>42800</v>
      </c>
      <c r="N167" s="55">
        <f t="shared" si="4"/>
        <v>6</v>
      </c>
      <c r="O167" s="592" t="s">
        <v>280</v>
      </c>
      <c r="P167" s="456"/>
      <c r="Q167" s="102"/>
      <c r="R167" s="623"/>
      <c r="S167" s="594"/>
    </row>
    <row r="168" spans="1:19">
      <c r="A168" s="186">
        <v>6</v>
      </c>
      <c r="B168" s="593" t="s">
        <v>275</v>
      </c>
      <c r="C168" s="594"/>
      <c r="D168" s="593" t="s">
        <v>276</v>
      </c>
      <c r="E168" s="594"/>
      <c r="F168" s="595" t="s">
        <v>282</v>
      </c>
      <c r="G168" s="456"/>
      <c r="H168" s="595" t="s">
        <v>278</v>
      </c>
      <c r="I168" s="456"/>
      <c r="J168" s="624" t="s">
        <v>279</v>
      </c>
      <c r="K168" s="594"/>
      <c r="L168" s="90">
        <v>42795</v>
      </c>
      <c r="M168" s="90">
        <v>42800</v>
      </c>
      <c r="N168" s="55">
        <f t="shared" si="4"/>
        <v>6</v>
      </c>
      <c r="O168" s="592" t="s">
        <v>280</v>
      </c>
      <c r="P168" s="456"/>
      <c r="Q168" s="102"/>
      <c r="R168" s="623"/>
      <c r="S168" s="594"/>
    </row>
    <row r="169" spans="1:19">
      <c r="A169" s="186">
        <v>7</v>
      </c>
      <c r="B169" s="593" t="s">
        <v>275</v>
      </c>
      <c r="C169" s="594"/>
      <c r="D169" s="593" t="s">
        <v>276</v>
      </c>
      <c r="E169" s="594"/>
      <c r="F169" s="595" t="s">
        <v>282</v>
      </c>
      <c r="G169" s="456"/>
      <c r="H169" s="595" t="s">
        <v>278</v>
      </c>
      <c r="I169" s="456"/>
      <c r="J169" s="624" t="s">
        <v>279</v>
      </c>
      <c r="K169" s="594"/>
      <c r="L169" s="90">
        <v>42795</v>
      </c>
      <c r="M169" s="90">
        <v>42800</v>
      </c>
      <c r="N169" s="55">
        <f t="shared" si="4"/>
        <v>6</v>
      </c>
      <c r="O169" s="592" t="s">
        <v>280</v>
      </c>
      <c r="P169" s="456"/>
      <c r="Q169" s="102"/>
      <c r="R169" s="623"/>
      <c r="S169" s="594"/>
    </row>
    <row r="170" spans="1:19">
      <c r="A170" s="186">
        <v>8</v>
      </c>
      <c r="B170" s="593" t="s">
        <v>275</v>
      </c>
      <c r="C170" s="594"/>
      <c r="D170" s="593" t="s">
        <v>276</v>
      </c>
      <c r="E170" s="594"/>
      <c r="F170" s="595" t="s">
        <v>282</v>
      </c>
      <c r="G170" s="456"/>
      <c r="H170" s="595" t="s">
        <v>278</v>
      </c>
      <c r="I170" s="456"/>
      <c r="J170" s="624" t="s">
        <v>279</v>
      </c>
      <c r="K170" s="594"/>
      <c r="L170" s="90">
        <v>42795</v>
      </c>
      <c r="M170" s="90">
        <v>42800</v>
      </c>
      <c r="N170" s="55">
        <f t="shared" si="4"/>
        <v>6</v>
      </c>
      <c r="O170" s="592" t="s">
        <v>280</v>
      </c>
      <c r="P170" s="456"/>
      <c r="Q170" s="102"/>
      <c r="R170" s="623"/>
      <c r="S170" s="594"/>
    </row>
    <row r="171" spans="1:19">
      <c r="A171" s="186">
        <v>9</v>
      </c>
      <c r="B171" s="593" t="s">
        <v>275</v>
      </c>
      <c r="C171" s="594"/>
      <c r="D171" s="593" t="s">
        <v>276</v>
      </c>
      <c r="E171" s="594"/>
      <c r="F171" s="595" t="s">
        <v>282</v>
      </c>
      <c r="G171" s="456"/>
      <c r="H171" s="595" t="s">
        <v>278</v>
      </c>
      <c r="I171" s="456"/>
      <c r="J171" s="624" t="s">
        <v>279</v>
      </c>
      <c r="K171" s="594"/>
      <c r="L171" s="90">
        <v>42795</v>
      </c>
      <c r="M171" s="90">
        <v>42800</v>
      </c>
      <c r="N171" s="55">
        <f t="shared" si="4"/>
        <v>6</v>
      </c>
      <c r="O171" s="592" t="s">
        <v>280</v>
      </c>
      <c r="P171" s="456"/>
      <c r="Q171" s="91"/>
      <c r="R171" s="623"/>
      <c r="S171" s="594"/>
    </row>
    <row r="172" spans="1:19">
      <c r="A172" s="186">
        <v>10</v>
      </c>
      <c r="B172" s="593" t="s">
        <v>275</v>
      </c>
      <c r="C172" s="594"/>
      <c r="D172" s="593" t="s">
        <v>276</v>
      </c>
      <c r="E172" s="594"/>
      <c r="F172" s="595" t="s">
        <v>282</v>
      </c>
      <c r="G172" s="456"/>
      <c r="H172" s="595" t="s">
        <v>278</v>
      </c>
      <c r="I172" s="456"/>
      <c r="J172" s="624" t="s">
        <v>279</v>
      </c>
      <c r="K172" s="594"/>
      <c r="L172" s="90">
        <v>42795</v>
      </c>
      <c r="M172" s="90">
        <v>42800</v>
      </c>
      <c r="N172" s="55">
        <f t="shared" si="4"/>
        <v>6</v>
      </c>
      <c r="O172" s="592" t="s">
        <v>280</v>
      </c>
      <c r="P172" s="456"/>
      <c r="Q172" s="91"/>
      <c r="R172" s="623"/>
      <c r="S172" s="594"/>
    </row>
    <row r="173" spans="1:19">
      <c r="A173" s="186">
        <v>11</v>
      </c>
      <c r="B173" s="593" t="s">
        <v>275</v>
      </c>
      <c r="C173" s="594"/>
      <c r="D173" s="593" t="s">
        <v>276</v>
      </c>
      <c r="E173" s="594"/>
      <c r="F173" s="595" t="s">
        <v>282</v>
      </c>
      <c r="G173" s="456"/>
      <c r="H173" s="595" t="s">
        <v>278</v>
      </c>
      <c r="I173" s="456"/>
      <c r="J173" s="624" t="s">
        <v>279</v>
      </c>
      <c r="K173" s="594"/>
      <c r="L173" s="90">
        <v>42795</v>
      </c>
      <c r="M173" s="90">
        <v>42800</v>
      </c>
      <c r="N173" s="55">
        <f t="shared" si="4"/>
        <v>6</v>
      </c>
      <c r="O173" s="592" t="s">
        <v>280</v>
      </c>
      <c r="P173" s="456"/>
      <c r="Q173" s="91"/>
      <c r="R173" s="623"/>
      <c r="S173" s="594"/>
    </row>
    <row r="174" spans="1:19">
      <c r="A174" s="186">
        <v>12</v>
      </c>
      <c r="B174" s="593" t="s">
        <v>275</v>
      </c>
      <c r="C174" s="594"/>
      <c r="D174" s="593" t="s">
        <v>276</v>
      </c>
      <c r="E174" s="594"/>
      <c r="F174" s="595" t="s">
        <v>282</v>
      </c>
      <c r="G174" s="456"/>
      <c r="H174" s="595" t="s">
        <v>278</v>
      </c>
      <c r="I174" s="456"/>
      <c r="J174" s="624" t="s">
        <v>279</v>
      </c>
      <c r="K174" s="594"/>
      <c r="L174" s="90">
        <v>42795</v>
      </c>
      <c r="M174" s="90">
        <v>42800</v>
      </c>
      <c r="N174" s="55">
        <f t="shared" si="4"/>
        <v>6</v>
      </c>
      <c r="O174" s="592" t="s">
        <v>280</v>
      </c>
      <c r="P174" s="456"/>
      <c r="Q174" s="91"/>
      <c r="R174" s="623"/>
      <c r="S174" s="594"/>
    </row>
    <row r="175" spans="1:19">
      <c r="A175" s="186">
        <v>13</v>
      </c>
      <c r="B175" s="593" t="s">
        <v>275</v>
      </c>
      <c r="C175" s="594"/>
      <c r="D175" s="593" t="s">
        <v>276</v>
      </c>
      <c r="E175" s="594"/>
      <c r="F175" s="595" t="s">
        <v>282</v>
      </c>
      <c r="G175" s="456"/>
      <c r="H175" s="595" t="s">
        <v>278</v>
      </c>
      <c r="I175" s="456"/>
      <c r="J175" s="624" t="s">
        <v>279</v>
      </c>
      <c r="K175" s="594"/>
      <c r="L175" s="90">
        <v>42795</v>
      </c>
      <c r="M175" s="90">
        <v>42800</v>
      </c>
      <c r="N175" s="55">
        <f t="shared" si="4"/>
        <v>6</v>
      </c>
      <c r="O175" s="592" t="s">
        <v>280</v>
      </c>
      <c r="P175" s="456"/>
      <c r="Q175" s="91"/>
      <c r="R175" s="623"/>
      <c r="S175" s="594"/>
    </row>
    <row r="176" spans="1:19">
      <c r="A176" s="186">
        <v>14</v>
      </c>
      <c r="B176" s="593" t="s">
        <v>275</v>
      </c>
      <c r="C176" s="594"/>
      <c r="D176" s="593" t="s">
        <v>276</v>
      </c>
      <c r="E176" s="594"/>
      <c r="F176" s="595" t="s">
        <v>282</v>
      </c>
      <c r="G176" s="456"/>
      <c r="H176" s="595" t="s">
        <v>278</v>
      </c>
      <c r="I176" s="456"/>
      <c r="J176" s="624" t="s">
        <v>279</v>
      </c>
      <c r="K176" s="594"/>
      <c r="L176" s="90">
        <v>42795</v>
      </c>
      <c r="M176" s="90">
        <v>42800</v>
      </c>
      <c r="N176" s="55">
        <f t="shared" si="4"/>
        <v>6</v>
      </c>
      <c r="O176" s="592" t="s">
        <v>280</v>
      </c>
      <c r="P176" s="456"/>
      <c r="Q176" s="91"/>
      <c r="R176" s="623"/>
      <c r="S176" s="594"/>
    </row>
    <row r="177" spans="1:19">
      <c r="A177" s="186">
        <v>15</v>
      </c>
      <c r="B177" s="593" t="s">
        <v>275</v>
      </c>
      <c r="C177" s="594"/>
      <c r="D177" s="593" t="s">
        <v>276</v>
      </c>
      <c r="E177" s="594"/>
      <c r="F177" s="595" t="s">
        <v>282</v>
      </c>
      <c r="G177" s="456"/>
      <c r="H177" s="595" t="s">
        <v>278</v>
      </c>
      <c r="I177" s="456"/>
      <c r="J177" s="624" t="s">
        <v>279</v>
      </c>
      <c r="K177" s="594"/>
      <c r="L177" s="90">
        <v>42795</v>
      </c>
      <c r="M177" s="90">
        <v>42800</v>
      </c>
      <c r="N177" s="55">
        <f t="shared" si="4"/>
        <v>6</v>
      </c>
      <c r="O177" s="592" t="s">
        <v>280</v>
      </c>
      <c r="P177" s="456"/>
      <c r="Q177" s="91"/>
      <c r="R177" s="623"/>
      <c r="S177" s="594"/>
    </row>
    <row r="178" spans="1:19">
      <c r="A178" s="186">
        <v>16</v>
      </c>
      <c r="B178" s="593" t="s">
        <v>275</v>
      </c>
      <c r="C178" s="594"/>
      <c r="D178" s="593" t="s">
        <v>276</v>
      </c>
      <c r="E178" s="594"/>
      <c r="F178" s="595" t="s">
        <v>282</v>
      </c>
      <c r="G178" s="456"/>
      <c r="H178" s="595" t="s">
        <v>278</v>
      </c>
      <c r="I178" s="456"/>
      <c r="J178" s="624" t="s">
        <v>279</v>
      </c>
      <c r="K178" s="594"/>
      <c r="L178" s="90">
        <v>42795</v>
      </c>
      <c r="M178" s="90">
        <v>42800</v>
      </c>
      <c r="N178" s="55">
        <f t="shared" si="4"/>
        <v>6</v>
      </c>
      <c r="O178" s="592" t="s">
        <v>280</v>
      </c>
      <c r="P178" s="456"/>
      <c r="Q178" s="91"/>
      <c r="R178" s="623"/>
      <c r="S178" s="594"/>
    </row>
    <row r="179" spans="1:19">
      <c r="A179" s="186">
        <v>17</v>
      </c>
      <c r="B179" s="593" t="s">
        <v>275</v>
      </c>
      <c r="C179" s="594"/>
      <c r="D179" s="593" t="s">
        <v>276</v>
      </c>
      <c r="E179" s="594"/>
      <c r="F179" s="595" t="s">
        <v>282</v>
      </c>
      <c r="G179" s="456"/>
      <c r="H179" s="595" t="s">
        <v>278</v>
      </c>
      <c r="I179" s="456"/>
      <c r="J179" s="624" t="s">
        <v>279</v>
      </c>
      <c r="K179" s="594"/>
      <c r="L179" s="90">
        <v>42795</v>
      </c>
      <c r="M179" s="90">
        <v>42800</v>
      </c>
      <c r="N179" s="55">
        <f t="shared" si="4"/>
        <v>6</v>
      </c>
      <c r="O179" s="592" t="s">
        <v>280</v>
      </c>
      <c r="P179" s="456"/>
      <c r="Q179" s="91"/>
      <c r="R179" s="623"/>
      <c r="S179" s="594"/>
    </row>
    <row r="180" spans="1:19">
      <c r="A180" s="186">
        <v>18</v>
      </c>
      <c r="B180" s="593" t="s">
        <v>275</v>
      </c>
      <c r="C180" s="594"/>
      <c r="D180" s="593" t="s">
        <v>276</v>
      </c>
      <c r="E180" s="594"/>
      <c r="F180" s="595" t="s">
        <v>282</v>
      </c>
      <c r="G180" s="456"/>
      <c r="H180" s="595" t="s">
        <v>278</v>
      </c>
      <c r="I180" s="456"/>
      <c r="J180" s="624" t="s">
        <v>279</v>
      </c>
      <c r="K180" s="594"/>
      <c r="L180" s="90">
        <v>42795</v>
      </c>
      <c r="M180" s="90">
        <v>42800</v>
      </c>
      <c r="N180" s="55">
        <f t="shared" si="4"/>
        <v>6</v>
      </c>
      <c r="O180" s="592" t="s">
        <v>280</v>
      </c>
      <c r="P180" s="456"/>
      <c r="Q180" s="91"/>
      <c r="R180" s="623"/>
      <c r="S180" s="594"/>
    </row>
    <row r="181" spans="1:19">
      <c r="A181" s="186">
        <v>19</v>
      </c>
      <c r="B181" s="593" t="s">
        <v>275</v>
      </c>
      <c r="C181" s="594"/>
      <c r="D181" s="593" t="s">
        <v>276</v>
      </c>
      <c r="E181" s="594"/>
      <c r="F181" s="595" t="s">
        <v>282</v>
      </c>
      <c r="G181" s="456"/>
      <c r="H181" s="595" t="s">
        <v>278</v>
      </c>
      <c r="I181" s="456"/>
      <c r="J181" s="624" t="s">
        <v>279</v>
      </c>
      <c r="K181" s="594"/>
      <c r="L181" s="90">
        <v>42795</v>
      </c>
      <c r="M181" s="90">
        <v>42800</v>
      </c>
      <c r="N181" s="55">
        <f t="shared" si="4"/>
        <v>6</v>
      </c>
      <c r="O181" s="592" t="s">
        <v>280</v>
      </c>
      <c r="P181" s="456"/>
      <c r="Q181" s="91"/>
      <c r="R181" s="623"/>
      <c r="S181" s="594"/>
    </row>
    <row r="182" spans="1:19">
      <c r="A182" s="186">
        <v>20</v>
      </c>
      <c r="B182" s="593" t="s">
        <v>275</v>
      </c>
      <c r="C182" s="594"/>
      <c r="D182" s="593" t="s">
        <v>276</v>
      </c>
      <c r="E182" s="594"/>
      <c r="F182" s="595" t="s">
        <v>282</v>
      </c>
      <c r="G182" s="456"/>
      <c r="H182" s="595" t="s">
        <v>278</v>
      </c>
      <c r="I182" s="456"/>
      <c r="J182" s="624" t="s">
        <v>279</v>
      </c>
      <c r="K182" s="594"/>
      <c r="L182" s="90">
        <v>42795</v>
      </c>
      <c r="M182" s="90">
        <v>42800</v>
      </c>
      <c r="N182" s="55">
        <f t="shared" si="4"/>
        <v>6</v>
      </c>
      <c r="O182" s="592" t="s">
        <v>280</v>
      </c>
      <c r="P182" s="456"/>
      <c r="Q182" s="91"/>
      <c r="R182" s="623"/>
      <c r="S182" s="594"/>
    </row>
    <row r="183" spans="1:19">
      <c r="A183" s="186">
        <v>21</v>
      </c>
      <c r="B183" s="593" t="s">
        <v>275</v>
      </c>
      <c r="C183" s="594"/>
      <c r="D183" s="593" t="s">
        <v>276</v>
      </c>
      <c r="E183" s="594"/>
      <c r="F183" s="595" t="s">
        <v>282</v>
      </c>
      <c r="G183" s="456"/>
      <c r="H183" s="595" t="s">
        <v>278</v>
      </c>
      <c r="I183" s="456"/>
      <c r="J183" s="624" t="s">
        <v>279</v>
      </c>
      <c r="K183" s="594"/>
      <c r="L183" s="90">
        <v>42795</v>
      </c>
      <c r="M183" s="90">
        <v>42800</v>
      </c>
      <c r="N183" s="55">
        <f t="shared" si="4"/>
        <v>6</v>
      </c>
      <c r="O183" s="592" t="s">
        <v>280</v>
      </c>
      <c r="P183" s="456"/>
      <c r="Q183" s="91"/>
      <c r="R183" s="623"/>
      <c r="S183" s="594"/>
    </row>
    <row r="184" spans="1:19">
      <c r="A184" s="186">
        <v>22</v>
      </c>
      <c r="B184" s="593" t="s">
        <v>275</v>
      </c>
      <c r="C184" s="594"/>
      <c r="D184" s="593" t="s">
        <v>276</v>
      </c>
      <c r="E184" s="594"/>
      <c r="F184" s="595" t="s">
        <v>282</v>
      </c>
      <c r="G184" s="456"/>
      <c r="H184" s="595" t="s">
        <v>278</v>
      </c>
      <c r="I184" s="456"/>
      <c r="J184" s="624" t="s">
        <v>279</v>
      </c>
      <c r="K184" s="594"/>
      <c r="L184" s="90">
        <v>42795</v>
      </c>
      <c r="M184" s="90">
        <v>42800</v>
      </c>
      <c r="N184" s="55">
        <f t="shared" si="4"/>
        <v>6</v>
      </c>
      <c r="O184" s="592" t="s">
        <v>280</v>
      </c>
      <c r="P184" s="456"/>
      <c r="Q184" s="91"/>
      <c r="R184" s="623"/>
      <c r="S184" s="594"/>
    </row>
    <row r="185" spans="1:19">
      <c r="A185" s="186">
        <v>23</v>
      </c>
      <c r="B185" s="593" t="s">
        <v>275</v>
      </c>
      <c r="C185" s="594"/>
      <c r="D185" s="593" t="s">
        <v>276</v>
      </c>
      <c r="E185" s="594"/>
      <c r="F185" s="595" t="s">
        <v>282</v>
      </c>
      <c r="G185" s="456"/>
      <c r="H185" s="595" t="s">
        <v>278</v>
      </c>
      <c r="I185" s="456"/>
      <c r="J185" s="624" t="s">
        <v>279</v>
      </c>
      <c r="K185" s="594"/>
      <c r="L185" s="90">
        <v>42795</v>
      </c>
      <c r="M185" s="90">
        <v>42800</v>
      </c>
      <c r="N185" s="55">
        <f t="shared" si="4"/>
        <v>6</v>
      </c>
      <c r="O185" s="592" t="s">
        <v>280</v>
      </c>
      <c r="P185" s="456"/>
      <c r="Q185" s="91"/>
      <c r="R185" s="623"/>
      <c r="S185" s="594"/>
    </row>
    <row r="186" spans="1:19">
      <c r="A186" s="186">
        <v>24</v>
      </c>
      <c r="B186" s="593" t="s">
        <v>275</v>
      </c>
      <c r="C186" s="594"/>
      <c r="D186" s="593" t="s">
        <v>276</v>
      </c>
      <c r="E186" s="594"/>
      <c r="F186" s="595" t="s">
        <v>282</v>
      </c>
      <c r="G186" s="456"/>
      <c r="H186" s="595" t="s">
        <v>278</v>
      </c>
      <c r="I186" s="456"/>
      <c r="J186" s="624" t="s">
        <v>279</v>
      </c>
      <c r="K186" s="594"/>
      <c r="L186" s="90">
        <v>42795</v>
      </c>
      <c r="M186" s="90">
        <v>42800</v>
      </c>
      <c r="N186" s="55">
        <f t="shared" si="4"/>
        <v>6</v>
      </c>
      <c r="O186" s="592" t="s">
        <v>280</v>
      </c>
      <c r="P186" s="456"/>
      <c r="Q186" s="91"/>
      <c r="R186" s="623"/>
      <c r="S186" s="594"/>
    </row>
    <row r="187" spans="1:19">
      <c r="A187" s="186">
        <v>25</v>
      </c>
      <c r="B187" s="593" t="s">
        <v>275</v>
      </c>
      <c r="C187" s="594"/>
      <c r="D187" s="593" t="s">
        <v>276</v>
      </c>
      <c r="E187" s="594"/>
      <c r="F187" s="595" t="s">
        <v>282</v>
      </c>
      <c r="G187" s="456"/>
      <c r="H187" s="595" t="s">
        <v>278</v>
      </c>
      <c r="I187" s="456"/>
      <c r="J187" s="624" t="s">
        <v>279</v>
      </c>
      <c r="K187" s="594"/>
      <c r="L187" s="90">
        <v>42777</v>
      </c>
      <c r="M187" s="90">
        <v>42800</v>
      </c>
      <c r="N187" s="55">
        <f t="shared" si="4"/>
        <v>24</v>
      </c>
      <c r="O187" s="592" t="s">
        <v>280</v>
      </c>
      <c r="P187" s="456"/>
      <c r="Q187" s="91"/>
      <c r="R187" s="623"/>
      <c r="S187" s="594"/>
    </row>
    <row r="188" spans="1:19">
      <c r="A188" s="186">
        <v>26</v>
      </c>
      <c r="B188" s="593" t="s">
        <v>275</v>
      </c>
      <c r="C188" s="594"/>
      <c r="D188" s="593" t="s">
        <v>276</v>
      </c>
      <c r="E188" s="594"/>
      <c r="F188" s="595" t="s">
        <v>282</v>
      </c>
      <c r="G188" s="456"/>
      <c r="H188" s="595" t="s">
        <v>278</v>
      </c>
      <c r="I188" s="456"/>
      <c r="J188" s="624" t="s">
        <v>279</v>
      </c>
      <c r="K188" s="594"/>
      <c r="L188" s="90">
        <v>42795</v>
      </c>
      <c r="M188" s="90">
        <v>42800</v>
      </c>
      <c r="N188" s="55">
        <f t="shared" si="4"/>
        <v>6</v>
      </c>
      <c r="O188" s="592" t="s">
        <v>280</v>
      </c>
      <c r="P188" s="456"/>
      <c r="Q188" s="91"/>
      <c r="R188" s="623"/>
      <c r="S188" s="594"/>
    </row>
    <row r="189" spans="1:19">
      <c r="A189" s="186">
        <v>27</v>
      </c>
      <c r="B189" s="593" t="s">
        <v>275</v>
      </c>
      <c r="C189" s="594"/>
      <c r="D189" s="593" t="s">
        <v>276</v>
      </c>
      <c r="E189" s="594"/>
      <c r="F189" s="595" t="s">
        <v>282</v>
      </c>
      <c r="G189" s="456"/>
      <c r="H189" s="595" t="s">
        <v>278</v>
      </c>
      <c r="I189" s="456"/>
      <c r="J189" s="624" t="s">
        <v>279</v>
      </c>
      <c r="K189" s="594"/>
      <c r="L189" s="90">
        <v>42795</v>
      </c>
      <c r="M189" s="90">
        <v>42800</v>
      </c>
      <c r="N189" s="55">
        <f t="shared" si="4"/>
        <v>6</v>
      </c>
      <c r="O189" s="592" t="s">
        <v>280</v>
      </c>
      <c r="P189" s="456"/>
      <c r="Q189" s="91"/>
      <c r="R189" s="623"/>
      <c r="S189" s="594"/>
    </row>
    <row r="190" spans="1:19">
      <c r="A190" s="186">
        <v>28</v>
      </c>
      <c r="B190" s="593" t="s">
        <v>275</v>
      </c>
      <c r="C190" s="594"/>
      <c r="D190" s="593" t="s">
        <v>276</v>
      </c>
      <c r="E190" s="594"/>
      <c r="F190" s="595" t="s">
        <v>282</v>
      </c>
      <c r="G190" s="456"/>
      <c r="H190" s="595" t="s">
        <v>278</v>
      </c>
      <c r="I190" s="456"/>
      <c r="J190" s="624" t="s">
        <v>279</v>
      </c>
      <c r="K190" s="594"/>
      <c r="L190" s="90">
        <v>42795</v>
      </c>
      <c r="M190" s="90">
        <v>42800</v>
      </c>
      <c r="N190" s="55">
        <f t="shared" si="4"/>
        <v>6</v>
      </c>
      <c r="O190" s="592" t="s">
        <v>280</v>
      </c>
      <c r="P190" s="456"/>
      <c r="Q190" s="91"/>
      <c r="R190" s="623"/>
      <c r="S190" s="594"/>
    </row>
    <row r="191" spans="1:19">
      <c r="A191" s="186">
        <v>29</v>
      </c>
      <c r="B191" s="593" t="s">
        <v>275</v>
      </c>
      <c r="C191" s="594"/>
      <c r="D191" s="593" t="s">
        <v>276</v>
      </c>
      <c r="E191" s="594"/>
      <c r="F191" s="595" t="s">
        <v>282</v>
      </c>
      <c r="G191" s="456"/>
      <c r="H191" s="595" t="s">
        <v>278</v>
      </c>
      <c r="I191" s="456"/>
      <c r="J191" s="624" t="s">
        <v>279</v>
      </c>
      <c r="K191" s="594"/>
      <c r="L191" s="90">
        <v>42795</v>
      </c>
      <c r="M191" s="90">
        <v>42800</v>
      </c>
      <c r="N191" s="55">
        <f t="shared" si="4"/>
        <v>6</v>
      </c>
      <c r="O191" s="592" t="s">
        <v>280</v>
      </c>
      <c r="P191" s="456"/>
      <c r="Q191" s="91"/>
      <c r="R191" s="623"/>
      <c r="S191" s="594"/>
    </row>
    <row r="192" spans="1:19">
      <c r="A192" s="186">
        <v>30</v>
      </c>
      <c r="B192" s="593" t="s">
        <v>275</v>
      </c>
      <c r="C192" s="594"/>
      <c r="D192" s="593" t="s">
        <v>276</v>
      </c>
      <c r="E192" s="594"/>
      <c r="F192" s="595" t="s">
        <v>282</v>
      </c>
      <c r="G192" s="456"/>
      <c r="H192" s="595" t="s">
        <v>278</v>
      </c>
      <c r="I192" s="456"/>
      <c r="J192" s="624" t="s">
        <v>279</v>
      </c>
      <c r="K192" s="594"/>
      <c r="L192" s="90">
        <v>42795</v>
      </c>
      <c r="M192" s="90">
        <v>42800</v>
      </c>
      <c r="N192" s="55">
        <f t="shared" si="4"/>
        <v>6</v>
      </c>
      <c r="O192" s="592" t="s">
        <v>280</v>
      </c>
      <c r="P192" s="456"/>
      <c r="Q192" s="91"/>
      <c r="R192" s="623"/>
      <c r="S192" s="594"/>
    </row>
    <row r="193" spans="1:19">
      <c r="A193" s="186">
        <v>31</v>
      </c>
      <c r="B193" s="593" t="s">
        <v>275</v>
      </c>
      <c r="C193" s="594"/>
      <c r="D193" s="593" t="s">
        <v>276</v>
      </c>
      <c r="E193" s="594"/>
      <c r="F193" s="595" t="s">
        <v>282</v>
      </c>
      <c r="G193" s="456"/>
      <c r="H193" s="595" t="s">
        <v>278</v>
      </c>
      <c r="I193" s="456"/>
      <c r="J193" s="624" t="s">
        <v>279</v>
      </c>
      <c r="K193" s="594"/>
      <c r="L193" s="90">
        <v>42795</v>
      </c>
      <c r="M193" s="90">
        <v>42800</v>
      </c>
      <c r="N193" s="55">
        <f t="shared" si="4"/>
        <v>6</v>
      </c>
      <c r="O193" s="592" t="s">
        <v>280</v>
      </c>
      <c r="P193" s="456"/>
      <c r="Q193" s="91"/>
      <c r="R193" s="623"/>
      <c r="S193" s="594"/>
    </row>
    <row r="194" spans="1:19">
      <c r="A194" s="186">
        <v>32</v>
      </c>
      <c r="B194" s="593" t="s">
        <v>275</v>
      </c>
      <c r="C194" s="594"/>
      <c r="D194" s="593" t="s">
        <v>276</v>
      </c>
      <c r="E194" s="594"/>
      <c r="F194" s="595" t="s">
        <v>282</v>
      </c>
      <c r="G194" s="456"/>
      <c r="H194" s="595" t="s">
        <v>278</v>
      </c>
      <c r="I194" s="456"/>
      <c r="J194" s="624" t="s">
        <v>279</v>
      </c>
      <c r="K194" s="594"/>
      <c r="L194" s="90">
        <v>42795</v>
      </c>
      <c r="M194" s="90">
        <v>42800</v>
      </c>
      <c r="N194" s="55">
        <f t="shared" si="4"/>
        <v>6</v>
      </c>
      <c r="O194" s="592" t="s">
        <v>280</v>
      </c>
      <c r="P194" s="456"/>
      <c r="Q194" s="91"/>
      <c r="R194" s="623"/>
      <c r="S194" s="594"/>
    </row>
    <row r="195" spans="1:19">
      <c r="A195" s="186">
        <v>33</v>
      </c>
      <c r="B195" s="593" t="s">
        <v>275</v>
      </c>
      <c r="C195" s="594"/>
      <c r="D195" s="593" t="s">
        <v>276</v>
      </c>
      <c r="E195" s="594"/>
      <c r="F195" s="595" t="s">
        <v>282</v>
      </c>
      <c r="G195" s="456"/>
      <c r="H195" s="595" t="s">
        <v>278</v>
      </c>
      <c r="I195" s="456"/>
      <c r="J195" s="624" t="s">
        <v>279</v>
      </c>
      <c r="K195" s="594"/>
      <c r="L195" s="90">
        <v>42795</v>
      </c>
      <c r="M195" s="90">
        <v>42800</v>
      </c>
      <c r="N195" s="55">
        <f t="shared" si="4"/>
        <v>6</v>
      </c>
      <c r="O195" s="592" t="s">
        <v>280</v>
      </c>
      <c r="P195" s="456"/>
      <c r="Q195" s="91"/>
      <c r="R195" s="623"/>
      <c r="S195" s="594"/>
    </row>
    <row r="196" spans="1:19">
      <c r="A196" s="186">
        <v>34</v>
      </c>
      <c r="B196" s="593" t="s">
        <v>275</v>
      </c>
      <c r="C196" s="594"/>
      <c r="D196" s="593" t="s">
        <v>276</v>
      </c>
      <c r="E196" s="594"/>
      <c r="F196" s="595" t="s">
        <v>282</v>
      </c>
      <c r="G196" s="456"/>
      <c r="H196" s="595" t="s">
        <v>278</v>
      </c>
      <c r="I196" s="456"/>
      <c r="J196" s="624" t="s">
        <v>279</v>
      </c>
      <c r="K196" s="594"/>
      <c r="L196" s="90">
        <v>42795</v>
      </c>
      <c r="M196" s="90">
        <v>42800</v>
      </c>
      <c r="N196" s="55">
        <f t="shared" si="4"/>
        <v>6</v>
      </c>
      <c r="O196" s="592" t="s">
        <v>280</v>
      </c>
      <c r="P196" s="456"/>
      <c r="Q196" s="91"/>
      <c r="R196" s="623"/>
      <c r="S196" s="594"/>
    </row>
    <row r="197" spans="1:19">
      <c r="A197" s="186">
        <v>35</v>
      </c>
      <c r="B197" s="593" t="s">
        <v>275</v>
      </c>
      <c r="C197" s="594"/>
      <c r="D197" s="593" t="s">
        <v>276</v>
      </c>
      <c r="E197" s="594"/>
      <c r="F197" s="595" t="s">
        <v>282</v>
      </c>
      <c r="G197" s="456"/>
      <c r="H197" s="595" t="s">
        <v>278</v>
      </c>
      <c r="I197" s="456"/>
      <c r="J197" s="624" t="s">
        <v>279</v>
      </c>
      <c r="K197" s="594"/>
      <c r="L197" s="90">
        <v>42795</v>
      </c>
      <c r="M197" s="90">
        <v>42800</v>
      </c>
      <c r="N197" s="55">
        <f t="shared" si="4"/>
        <v>6</v>
      </c>
      <c r="O197" s="592" t="s">
        <v>280</v>
      </c>
      <c r="P197" s="456"/>
      <c r="Q197" s="91"/>
      <c r="R197" s="623"/>
      <c r="S197" s="594"/>
    </row>
    <row r="198" spans="1:19">
      <c r="A198" s="186">
        <v>36</v>
      </c>
      <c r="B198" s="593" t="s">
        <v>275</v>
      </c>
      <c r="C198" s="594"/>
      <c r="D198" s="593" t="s">
        <v>276</v>
      </c>
      <c r="E198" s="594"/>
      <c r="F198" s="595" t="s">
        <v>282</v>
      </c>
      <c r="G198" s="456"/>
      <c r="H198" s="595" t="s">
        <v>278</v>
      </c>
      <c r="I198" s="456"/>
      <c r="J198" s="624" t="s">
        <v>279</v>
      </c>
      <c r="K198" s="594"/>
      <c r="L198" s="90">
        <v>42795</v>
      </c>
      <c r="M198" s="90">
        <v>42800</v>
      </c>
      <c r="N198" s="55">
        <f t="shared" si="4"/>
        <v>6</v>
      </c>
      <c r="O198" s="592" t="s">
        <v>280</v>
      </c>
      <c r="P198" s="456"/>
      <c r="Q198" s="91"/>
      <c r="R198" s="623"/>
      <c r="S198" s="594"/>
    </row>
    <row r="199" spans="1:19">
      <c r="A199" s="186">
        <v>37</v>
      </c>
      <c r="B199" s="593" t="s">
        <v>275</v>
      </c>
      <c r="C199" s="594"/>
      <c r="D199" s="593" t="s">
        <v>276</v>
      </c>
      <c r="E199" s="594"/>
      <c r="F199" s="595" t="s">
        <v>282</v>
      </c>
      <c r="G199" s="456"/>
      <c r="H199" s="595" t="s">
        <v>278</v>
      </c>
      <c r="I199" s="456"/>
      <c r="J199" s="624" t="s">
        <v>279</v>
      </c>
      <c r="K199" s="594"/>
      <c r="L199" s="90">
        <v>42795</v>
      </c>
      <c r="M199" s="90">
        <v>42800</v>
      </c>
      <c r="N199" s="55">
        <f t="shared" si="4"/>
        <v>6</v>
      </c>
      <c r="O199" s="592" t="s">
        <v>280</v>
      </c>
      <c r="P199" s="456"/>
      <c r="Q199" s="91"/>
      <c r="R199" s="623"/>
      <c r="S199" s="594"/>
    </row>
    <row r="200" spans="1:19">
      <c r="A200" s="186">
        <v>38</v>
      </c>
      <c r="B200" s="593" t="s">
        <v>275</v>
      </c>
      <c r="C200" s="594"/>
      <c r="D200" s="593" t="s">
        <v>276</v>
      </c>
      <c r="E200" s="594"/>
      <c r="F200" s="595" t="s">
        <v>282</v>
      </c>
      <c r="G200" s="456"/>
      <c r="H200" s="595" t="s">
        <v>283</v>
      </c>
      <c r="I200" s="456"/>
      <c r="J200" s="624" t="s">
        <v>279</v>
      </c>
      <c r="K200" s="594"/>
      <c r="L200" s="90">
        <v>42795</v>
      </c>
      <c r="M200" s="90">
        <v>42800</v>
      </c>
      <c r="N200" s="55">
        <f t="shared" si="4"/>
        <v>6</v>
      </c>
      <c r="O200" s="592" t="s">
        <v>280</v>
      </c>
      <c r="P200" s="456"/>
      <c r="Q200" s="91"/>
      <c r="R200" s="623"/>
      <c r="S200" s="594"/>
    </row>
    <row r="201" spans="1:19">
      <c r="A201" s="17"/>
    </row>
    <row r="202" spans="1:19">
      <c r="A202" s="17"/>
    </row>
    <row r="203" spans="1:19">
      <c r="A203" s="157"/>
    </row>
    <row r="204" spans="1:19" ht="26.25">
      <c r="A204" s="585" t="s">
        <v>371</v>
      </c>
      <c r="B204" s="585"/>
      <c r="C204" s="585"/>
      <c r="D204" s="585"/>
      <c r="E204" s="585"/>
      <c r="F204" s="585"/>
      <c r="G204" s="585"/>
      <c r="H204" s="585"/>
      <c r="I204" s="585"/>
      <c r="J204" s="585"/>
      <c r="K204" s="585"/>
      <c r="L204" s="585"/>
      <c r="M204" s="585"/>
      <c r="N204" s="586"/>
      <c r="O204" s="586"/>
      <c r="P204" s="586"/>
    </row>
    <row r="205" spans="1:19" ht="24" customHeight="1">
      <c r="A205" s="17"/>
    </row>
    <row r="206" spans="1:19" ht="23.45" customHeight="1">
      <c r="A206" s="501" t="s">
        <v>222</v>
      </c>
      <c r="B206" s="501" t="s">
        <v>365</v>
      </c>
      <c r="C206" s="597"/>
      <c r="D206" s="501" t="s">
        <v>366</v>
      </c>
      <c r="E206" s="597"/>
      <c r="F206" s="597"/>
      <c r="G206" s="497" t="s">
        <v>367</v>
      </c>
      <c r="H206" s="590"/>
      <c r="I206" s="498" t="s">
        <v>370</v>
      </c>
      <c r="J206" s="598" t="s">
        <v>371</v>
      </c>
      <c r="K206" s="498" t="s">
        <v>372</v>
      </c>
      <c r="L206" s="591"/>
      <c r="M206" s="591"/>
      <c r="N206" s="497" t="s">
        <v>367</v>
      </c>
      <c r="O206" s="590"/>
      <c r="P206" s="499" t="s">
        <v>370</v>
      </c>
    </row>
    <row r="207" spans="1:19" ht="48.75" customHeight="1">
      <c r="A207" s="502"/>
      <c r="B207" s="502"/>
      <c r="C207" s="597"/>
      <c r="D207" s="597"/>
      <c r="E207" s="597"/>
      <c r="F207" s="597"/>
      <c r="G207" s="187" t="s">
        <v>368</v>
      </c>
      <c r="H207" s="187" t="s">
        <v>369</v>
      </c>
      <c r="I207" s="591"/>
      <c r="J207" s="599"/>
      <c r="K207" s="591"/>
      <c r="L207" s="591"/>
      <c r="M207" s="591"/>
      <c r="N207" s="187" t="s">
        <v>368</v>
      </c>
      <c r="O207" s="187" t="s">
        <v>369</v>
      </c>
      <c r="P207" s="591"/>
    </row>
    <row r="208" spans="1:19" ht="167.45" customHeight="1">
      <c r="A208" s="578">
        <v>1</v>
      </c>
      <c r="B208" s="596" t="s">
        <v>379</v>
      </c>
      <c r="C208" s="584"/>
      <c r="D208" s="583"/>
      <c r="E208" s="584"/>
      <c r="F208" s="584"/>
      <c r="G208" s="138">
        <v>1</v>
      </c>
      <c r="H208" s="138">
        <v>1</v>
      </c>
      <c r="I208" s="68">
        <f>G208*H208</f>
        <v>1</v>
      </c>
      <c r="J208" s="139" t="s">
        <v>376</v>
      </c>
      <c r="K208" s="492"/>
      <c r="L208" s="493"/>
      <c r="M208" s="494"/>
      <c r="N208" s="138">
        <v>4</v>
      </c>
      <c r="O208" s="138">
        <v>1</v>
      </c>
      <c r="P208" s="68">
        <f>N208*O208</f>
        <v>4</v>
      </c>
    </row>
    <row r="209" spans="1:16">
      <c r="A209" s="579"/>
      <c r="B209" s="596" t="s">
        <v>69</v>
      </c>
      <c r="C209" s="584"/>
      <c r="D209" s="583"/>
      <c r="E209" s="584"/>
      <c r="F209" s="584"/>
      <c r="G209" s="138">
        <v>0</v>
      </c>
      <c r="H209" s="138">
        <v>0</v>
      </c>
      <c r="I209" s="68">
        <f>IF(G209="",0,G209*H209)</f>
        <v>0</v>
      </c>
      <c r="J209" s="188"/>
      <c r="K209" s="492"/>
      <c r="L209" s="493"/>
      <c r="M209" s="494"/>
      <c r="N209" s="138">
        <v>1</v>
      </c>
      <c r="O209" s="138">
        <v>1</v>
      </c>
      <c r="P209" s="68">
        <f t="shared" ref="P209:P225" si="5">N209*O209</f>
        <v>1</v>
      </c>
    </row>
    <row r="210" spans="1:16">
      <c r="A210" s="580"/>
      <c r="B210" s="596"/>
      <c r="C210" s="584"/>
      <c r="D210" s="583"/>
      <c r="E210" s="584"/>
      <c r="F210" s="584"/>
      <c r="G210" s="138">
        <v>1</v>
      </c>
      <c r="H210" s="138">
        <v>1</v>
      </c>
      <c r="I210" s="68">
        <f t="shared" ref="I210:I225" si="6">G210*H210</f>
        <v>1</v>
      </c>
      <c r="J210" s="188"/>
      <c r="K210" s="492"/>
      <c r="L210" s="493"/>
      <c r="M210" s="494"/>
      <c r="N210" s="138">
        <v>0</v>
      </c>
      <c r="O210" s="138">
        <v>0</v>
      </c>
      <c r="P210" s="68">
        <f t="shared" si="5"/>
        <v>0</v>
      </c>
    </row>
    <row r="211" spans="1:16" ht="146.44999999999999" customHeight="1">
      <c r="A211" s="578">
        <v>2</v>
      </c>
      <c r="B211" s="596" t="s">
        <v>380</v>
      </c>
      <c r="C211" s="584"/>
      <c r="D211" s="583"/>
      <c r="E211" s="584"/>
      <c r="F211" s="584"/>
      <c r="G211" s="138">
        <v>1</v>
      </c>
      <c r="H211" s="138">
        <v>1</v>
      </c>
      <c r="I211" s="68">
        <f t="shared" si="6"/>
        <v>1</v>
      </c>
      <c r="J211" s="188"/>
      <c r="K211" s="492"/>
      <c r="L211" s="493"/>
      <c r="M211" s="494"/>
      <c r="N211" s="138">
        <v>1</v>
      </c>
      <c r="O211" s="138">
        <v>1</v>
      </c>
      <c r="P211" s="68">
        <f t="shared" si="5"/>
        <v>1</v>
      </c>
    </row>
    <row r="212" spans="1:16">
      <c r="A212" s="579"/>
      <c r="B212" s="596"/>
      <c r="C212" s="584"/>
      <c r="D212" s="583"/>
      <c r="E212" s="584"/>
      <c r="F212" s="584"/>
      <c r="G212" s="138">
        <v>1</v>
      </c>
      <c r="H212" s="138">
        <v>1</v>
      </c>
      <c r="I212" s="68">
        <f t="shared" si="6"/>
        <v>1</v>
      </c>
      <c r="J212" s="188"/>
      <c r="K212" s="492"/>
      <c r="L212" s="493"/>
      <c r="M212" s="494"/>
      <c r="N212" s="138">
        <v>1</v>
      </c>
      <c r="O212" s="138">
        <v>1</v>
      </c>
      <c r="P212" s="68">
        <f t="shared" si="5"/>
        <v>1</v>
      </c>
    </row>
    <row r="213" spans="1:16">
      <c r="A213" s="580"/>
      <c r="B213" s="596"/>
      <c r="C213" s="584"/>
      <c r="D213" s="583"/>
      <c r="E213" s="584"/>
      <c r="F213" s="584"/>
      <c r="G213" s="138">
        <v>1</v>
      </c>
      <c r="H213" s="138">
        <v>1</v>
      </c>
      <c r="I213" s="68">
        <f t="shared" si="6"/>
        <v>1</v>
      </c>
      <c r="J213" s="188"/>
      <c r="K213" s="492"/>
      <c r="L213" s="493"/>
      <c r="M213" s="494"/>
      <c r="N213" s="138">
        <v>0</v>
      </c>
      <c r="O213" s="138">
        <v>1</v>
      </c>
      <c r="P213" s="68">
        <f t="shared" si="5"/>
        <v>0</v>
      </c>
    </row>
    <row r="214" spans="1:16">
      <c r="A214" s="578">
        <v>3</v>
      </c>
      <c r="B214" s="596"/>
      <c r="C214" s="584"/>
      <c r="D214" s="583"/>
      <c r="E214" s="584"/>
      <c r="F214" s="584"/>
      <c r="G214" s="138">
        <v>0</v>
      </c>
      <c r="H214" s="138">
        <v>1</v>
      </c>
      <c r="I214" s="68">
        <f t="shared" si="6"/>
        <v>0</v>
      </c>
      <c r="J214" s="188"/>
      <c r="K214" s="492"/>
      <c r="L214" s="493"/>
      <c r="M214" s="494"/>
      <c r="N214" s="138">
        <v>0</v>
      </c>
      <c r="O214" s="138">
        <v>1</v>
      </c>
      <c r="P214" s="68">
        <f t="shared" si="5"/>
        <v>0</v>
      </c>
    </row>
    <row r="215" spans="1:16">
      <c r="A215" s="579"/>
      <c r="B215" s="596"/>
      <c r="C215" s="584"/>
      <c r="D215" s="583"/>
      <c r="E215" s="584"/>
      <c r="F215" s="584"/>
      <c r="G215" s="138">
        <v>0</v>
      </c>
      <c r="H215" s="138">
        <v>1</v>
      </c>
      <c r="I215" s="68">
        <f t="shared" si="6"/>
        <v>0</v>
      </c>
      <c r="J215" s="188"/>
      <c r="K215" s="492"/>
      <c r="L215" s="493"/>
      <c r="M215" s="494"/>
      <c r="N215" s="138">
        <v>0</v>
      </c>
      <c r="O215" s="138">
        <v>1</v>
      </c>
      <c r="P215" s="68">
        <f t="shared" si="5"/>
        <v>0</v>
      </c>
    </row>
    <row r="216" spans="1:16">
      <c r="A216" s="580"/>
      <c r="B216" s="596"/>
      <c r="C216" s="584"/>
      <c r="D216" s="583"/>
      <c r="E216" s="584"/>
      <c r="F216" s="584"/>
      <c r="G216" s="138">
        <v>0</v>
      </c>
      <c r="H216" s="138">
        <v>1</v>
      </c>
      <c r="I216" s="68">
        <f t="shared" si="6"/>
        <v>0</v>
      </c>
      <c r="J216" s="188"/>
      <c r="K216" s="492"/>
      <c r="L216" s="493"/>
      <c r="M216" s="494"/>
      <c r="N216" s="138">
        <v>0</v>
      </c>
      <c r="O216" s="138">
        <v>1</v>
      </c>
      <c r="P216" s="68">
        <f t="shared" si="5"/>
        <v>0</v>
      </c>
    </row>
    <row r="217" spans="1:16">
      <c r="A217" s="581">
        <v>4</v>
      </c>
      <c r="B217" s="596"/>
      <c r="C217" s="584"/>
      <c r="D217" s="583"/>
      <c r="E217" s="584"/>
      <c r="F217" s="584"/>
      <c r="G217" s="138">
        <v>0</v>
      </c>
      <c r="H217" s="138">
        <v>1</v>
      </c>
      <c r="I217" s="68">
        <f t="shared" si="6"/>
        <v>0</v>
      </c>
      <c r="J217" s="188"/>
      <c r="K217" s="492"/>
      <c r="L217" s="493"/>
      <c r="M217" s="494"/>
      <c r="N217" s="138">
        <v>0</v>
      </c>
      <c r="O217" s="138">
        <v>1</v>
      </c>
      <c r="P217" s="68">
        <f t="shared" si="5"/>
        <v>0</v>
      </c>
    </row>
    <row r="218" spans="1:16">
      <c r="A218" s="579"/>
      <c r="B218" s="596"/>
      <c r="C218" s="584"/>
      <c r="D218" s="583"/>
      <c r="E218" s="584"/>
      <c r="F218" s="584"/>
      <c r="G218" s="138">
        <v>0</v>
      </c>
      <c r="H218" s="138">
        <v>1</v>
      </c>
      <c r="I218" s="68">
        <f t="shared" si="6"/>
        <v>0</v>
      </c>
      <c r="J218" s="188"/>
      <c r="K218" s="492"/>
      <c r="L218" s="493"/>
      <c r="M218" s="494"/>
      <c r="N218" s="138">
        <v>0</v>
      </c>
      <c r="O218" s="138">
        <v>1</v>
      </c>
      <c r="P218" s="68">
        <f t="shared" si="5"/>
        <v>0</v>
      </c>
    </row>
    <row r="219" spans="1:16">
      <c r="A219" s="580"/>
      <c r="B219" s="596"/>
      <c r="C219" s="584"/>
      <c r="D219" s="583"/>
      <c r="E219" s="584"/>
      <c r="F219" s="584"/>
      <c r="G219" s="138">
        <v>0</v>
      </c>
      <c r="H219" s="138">
        <v>1</v>
      </c>
      <c r="I219" s="68">
        <f t="shared" si="6"/>
        <v>0</v>
      </c>
      <c r="J219" s="188"/>
      <c r="K219" s="492"/>
      <c r="L219" s="493"/>
      <c r="M219" s="494"/>
      <c r="N219" s="138">
        <v>0</v>
      </c>
      <c r="O219" s="138">
        <v>1</v>
      </c>
      <c r="P219" s="68">
        <f t="shared" si="5"/>
        <v>0</v>
      </c>
    </row>
    <row r="220" spans="1:16">
      <c r="A220" s="578">
        <v>5</v>
      </c>
      <c r="B220" s="596"/>
      <c r="C220" s="584"/>
      <c r="D220" s="583"/>
      <c r="E220" s="584"/>
      <c r="F220" s="584"/>
      <c r="G220" s="138">
        <v>0</v>
      </c>
      <c r="H220" s="138">
        <v>1</v>
      </c>
      <c r="I220" s="68">
        <f t="shared" si="6"/>
        <v>0</v>
      </c>
      <c r="J220" s="188"/>
      <c r="K220" s="492"/>
      <c r="L220" s="493"/>
      <c r="M220" s="494"/>
      <c r="N220" s="138">
        <v>0</v>
      </c>
      <c r="O220" s="138">
        <v>1</v>
      </c>
      <c r="P220" s="68">
        <f t="shared" si="5"/>
        <v>0</v>
      </c>
    </row>
    <row r="221" spans="1:16">
      <c r="A221" s="579"/>
      <c r="B221" s="596"/>
      <c r="C221" s="584"/>
      <c r="D221" s="583"/>
      <c r="E221" s="584"/>
      <c r="F221" s="584"/>
      <c r="G221" s="138">
        <v>0</v>
      </c>
      <c r="H221" s="138">
        <v>1</v>
      </c>
      <c r="I221" s="68">
        <f t="shared" si="6"/>
        <v>0</v>
      </c>
      <c r="J221" s="188"/>
      <c r="K221" s="492"/>
      <c r="L221" s="493"/>
      <c r="M221" s="494"/>
      <c r="N221" s="138">
        <v>0</v>
      </c>
      <c r="O221" s="138">
        <v>1</v>
      </c>
      <c r="P221" s="68">
        <f t="shared" si="5"/>
        <v>0</v>
      </c>
    </row>
    <row r="222" spans="1:16">
      <c r="A222" s="580"/>
      <c r="B222" s="596"/>
      <c r="C222" s="584"/>
      <c r="D222" s="583"/>
      <c r="E222" s="584"/>
      <c r="F222" s="584"/>
      <c r="G222" s="138">
        <v>0</v>
      </c>
      <c r="H222" s="138">
        <v>1</v>
      </c>
      <c r="I222" s="68">
        <f t="shared" si="6"/>
        <v>0</v>
      </c>
      <c r="J222" s="188"/>
      <c r="K222" s="492"/>
      <c r="L222" s="493"/>
      <c r="M222" s="494"/>
      <c r="N222" s="138">
        <v>0</v>
      </c>
      <c r="O222" s="138">
        <v>1</v>
      </c>
      <c r="P222" s="68">
        <f t="shared" si="5"/>
        <v>0</v>
      </c>
    </row>
    <row r="223" spans="1:16">
      <c r="A223" s="578">
        <v>6</v>
      </c>
      <c r="B223" s="596"/>
      <c r="C223" s="584"/>
      <c r="D223" s="583"/>
      <c r="E223" s="584"/>
      <c r="F223" s="584"/>
      <c r="G223" s="138">
        <v>0</v>
      </c>
      <c r="H223" s="138">
        <v>1</v>
      </c>
      <c r="I223" s="68">
        <f t="shared" si="6"/>
        <v>0</v>
      </c>
      <c r="J223" s="188"/>
      <c r="K223" s="492"/>
      <c r="L223" s="493"/>
      <c r="M223" s="494"/>
      <c r="N223" s="138">
        <v>0</v>
      </c>
      <c r="O223" s="138">
        <v>1</v>
      </c>
      <c r="P223" s="68">
        <f t="shared" si="5"/>
        <v>0</v>
      </c>
    </row>
    <row r="224" spans="1:16">
      <c r="A224" s="579"/>
      <c r="B224" s="596"/>
      <c r="C224" s="584"/>
      <c r="D224" s="583"/>
      <c r="E224" s="584"/>
      <c r="F224" s="584"/>
      <c r="G224" s="138">
        <v>0</v>
      </c>
      <c r="H224" s="138">
        <v>1</v>
      </c>
      <c r="I224" s="68">
        <f t="shared" si="6"/>
        <v>0</v>
      </c>
      <c r="J224" s="188"/>
      <c r="K224" s="492"/>
      <c r="L224" s="493"/>
      <c r="M224" s="494"/>
      <c r="N224" s="138">
        <v>0</v>
      </c>
      <c r="O224" s="138">
        <v>1</v>
      </c>
      <c r="P224" s="68">
        <f t="shared" si="5"/>
        <v>0</v>
      </c>
    </row>
    <row r="225" spans="1:19">
      <c r="A225" s="580"/>
      <c r="B225" s="596"/>
      <c r="C225" s="584"/>
      <c r="D225" s="583"/>
      <c r="E225" s="584"/>
      <c r="F225" s="584"/>
      <c r="G225" s="138">
        <v>0</v>
      </c>
      <c r="H225" s="138">
        <v>0</v>
      </c>
      <c r="I225" s="68">
        <f t="shared" si="6"/>
        <v>0</v>
      </c>
      <c r="J225" s="188"/>
      <c r="K225" s="492"/>
      <c r="L225" s="493"/>
      <c r="M225" s="494"/>
      <c r="N225" s="138">
        <v>0</v>
      </c>
      <c r="O225" s="138">
        <v>1</v>
      </c>
      <c r="P225" s="68">
        <f t="shared" si="5"/>
        <v>0</v>
      </c>
    </row>
    <row r="226" spans="1:19">
      <c r="A226" s="17"/>
    </row>
    <row r="227" spans="1:19">
      <c r="A227" s="344"/>
    </row>
    <row r="228" spans="1:19" ht="26.25">
      <c r="A228" s="344"/>
      <c r="B228" s="479" t="s">
        <v>542</v>
      </c>
      <c r="C228" s="480"/>
      <c r="D228" s="520"/>
      <c r="E228" s="520"/>
      <c r="F228" s="520"/>
      <c r="G228" s="520"/>
      <c r="H228" s="344"/>
      <c r="I228" s="344"/>
      <c r="J228" s="344"/>
      <c r="K228" s="344"/>
      <c r="L228" s="344"/>
      <c r="M228" s="344"/>
      <c r="N228" s="344"/>
      <c r="O228" s="344"/>
    </row>
    <row r="229" spans="1:19" ht="27" thickBot="1">
      <c r="A229" s="344"/>
      <c r="B229" s="2" t="s">
        <v>489</v>
      </c>
      <c r="C229" s="344"/>
      <c r="D229" s="344"/>
      <c r="E229" s="344"/>
      <c r="I229" s="345" t="s">
        <v>509</v>
      </c>
      <c r="J229" s="344"/>
      <c r="L229" s="344"/>
      <c r="M229" s="344"/>
      <c r="N229" s="344"/>
      <c r="O229" s="344"/>
      <c r="P229" s="345" t="s">
        <v>510</v>
      </c>
    </row>
    <row r="230" spans="1:19" ht="93.75" thickBot="1">
      <c r="A230" s="345" t="s">
        <v>503</v>
      </c>
      <c r="B230" s="563" t="s">
        <v>490</v>
      </c>
      <c r="C230" s="567"/>
      <c r="D230" s="567"/>
      <c r="E230" s="567"/>
      <c r="F230" s="363" t="s">
        <v>491</v>
      </c>
      <c r="G230" s="363" t="s">
        <v>492</v>
      </c>
      <c r="I230" s="563" t="s">
        <v>490</v>
      </c>
      <c r="J230" s="567"/>
      <c r="K230" s="567"/>
      <c r="L230" s="567"/>
      <c r="M230" s="365" t="s">
        <v>491</v>
      </c>
      <c r="N230" s="364" t="s">
        <v>492</v>
      </c>
      <c r="O230" s="344"/>
      <c r="P230" s="563" t="s">
        <v>490</v>
      </c>
      <c r="Q230" s="577"/>
      <c r="R230" s="366" t="s">
        <v>491</v>
      </c>
      <c r="S230" s="363" t="s">
        <v>492</v>
      </c>
    </row>
    <row r="231" spans="1:19" ht="30" customHeight="1" thickBot="1">
      <c r="A231" s="344"/>
      <c r="B231" s="570" t="s">
        <v>493</v>
      </c>
      <c r="C231" s="571"/>
      <c r="D231" s="571"/>
      <c r="E231" s="571"/>
      <c r="F231" s="356" t="s">
        <v>494</v>
      </c>
      <c r="G231" s="356">
        <v>5</v>
      </c>
      <c r="I231" s="573" t="s">
        <v>504</v>
      </c>
      <c r="J231" s="569"/>
      <c r="K231" s="569"/>
      <c r="L231" s="569"/>
      <c r="M231" s="356" t="s">
        <v>494</v>
      </c>
      <c r="N231" s="356">
        <v>5</v>
      </c>
      <c r="O231" s="344"/>
      <c r="P231" s="565" t="s">
        <v>511</v>
      </c>
      <c r="Q231" s="491"/>
      <c r="R231" s="356" t="s">
        <v>494</v>
      </c>
      <c r="S231" s="356">
        <v>5</v>
      </c>
    </row>
    <row r="232" spans="1:19" ht="30" customHeight="1" thickBot="1">
      <c r="A232" s="344"/>
      <c r="B232" s="570" t="s">
        <v>495</v>
      </c>
      <c r="C232" s="571"/>
      <c r="D232" s="571"/>
      <c r="E232" s="571"/>
      <c r="F232" s="356" t="s">
        <v>496</v>
      </c>
      <c r="G232" s="356">
        <v>4</v>
      </c>
      <c r="I232" s="573" t="s">
        <v>505</v>
      </c>
      <c r="J232" s="569"/>
      <c r="K232" s="569"/>
      <c r="L232" s="569"/>
      <c r="M232" s="356" t="s">
        <v>496</v>
      </c>
      <c r="N232" s="356">
        <v>4</v>
      </c>
      <c r="O232" s="344"/>
      <c r="P232" s="565" t="s">
        <v>512</v>
      </c>
      <c r="Q232" s="491"/>
      <c r="R232" s="356" t="s">
        <v>496</v>
      </c>
      <c r="S232" s="356">
        <v>4</v>
      </c>
    </row>
    <row r="233" spans="1:19" ht="24.75" thickBot="1">
      <c r="A233" s="344"/>
      <c r="B233" s="570" t="s">
        <v>497</v>
      </c>
      <c r="C233" s="571"/>
      <c r="D233" s="571"/>
      <c r="E233" s="571"/>
      <c r="F233" s="356" t="s">
        <v>498</v>
      </c>
      <c r="G233" s="356">
        <v>3</v>
      </c>
      <c r="I233" s="573" t="s">
        <v>506</v>
      </c>
      <c r="J233" s="569"/>
      <c r="K233" s="569"/>
      <c r="L233" s="569"/>
      <c r="M233" s="356" t="s">
        <v>498</v>
      </c>
      <c r="N233" s="356">
        <v>3</v>
      </c>
      <c r="O233" s="344"/>
      <c r="P233" s="565" t="s">
        <v>513</v>
      </c>
      <c r="Q233" s="491"/>
      <c r="R233" s="356" t="s">
        <v>498</v>
      </c>
      <c r="S233" s="356">
        <v>3</v>
      </c>
    </row>
    <row r="234" spans="1:19" ht="40.15" customHeight="1" thickBot="1">
      <c r="A234" s="344"/>
      <c r="B234" s="570" t="s">
        <v>499</v>
      </c>
      <c r="C234" s="571"/>
      <c r="D234" s="571"/>
      <c r="E234" s="571"/>
      <c r="F234" s="356" t="s">
        <v>500</v>
      </c>
      <c r="G234" s="356">
        <v>2</v>
      </c>
      <c r="I234" s="573" t="s">
        <v>507</v>
      </c>
      <c r="J234" s="569"/>
      <c r="K234" s="569"/>
      <c r="L234" s="569"/>
      <c r="M234" s="356" t="s">
        <v>500</v>
      </c>
      <c r="N234" s="356">
        <v>2</v>
      </c>
      <c r="O234" s="344"/>
      <c r="P234" s="565" t="s">
        <v>514</v>
      </c>
      <c r="Q234" s="491"/>
      <c r="R234" s="356" t="s">
        <v>500</v>
      </c>
      <c r="S234" s="356">
        <v>2</v>
      </c>
    </row>
    <row r="235" spans="1:19" ht="26.45" customHeight="1" thickBot="1">
      <c r="A235" s="344"/>
      <c r="B235" s="570" t="s">
        <v>501</v>
      </c>
      <c r="C235" s="571"/>
      <c r="D235" s="571"/>
      <c r="E235" s="571"/>
      <c r="F235" s="356" t="s">
        <v>502</v>
      </c>
      <c r="G235" s="356">
        <v>1</v>
      </c>
      <c r="I235" s="573" t="s">
        <v>508</v>
      </c>
      <c r="J235" s="569"/>
      <c r="K235" s="569"/>
      <c r="L235" s="569"/>
      <c r="M235" s="356" t="s">
        <v>502</v>
      </c>
      <c r="N235" s="356">
        <v>1</v>
      </c>
      <c r="O235" s="344"/>
      <c r="P235" s="483" t="s">
        <v>515</v>
      </c>
      <c r="Q235" s="484"/>
      <c r="R235" s="356" t="s">
        <v>502</v>
      </c>
      <c r="S235" s="356">
        <v>1</v>
      </c>
    </row>
    <row r="236" spans="1:19">
      <c r="A236" s="344"/>
      <c r="B236" s="344"/>
      <c r="C236" s="344"/>
      <c r="D236" s="344"/>
      <c r="E236" s="344"/>
      <c r="F236" s="344"/>
      <c r="G236" s="344"/>
      <c r="H236" s="344"/>
      <c r="I236" s="344"/>
      <c r="J236" s="344"/>
      <c r="K236" s="344"/>
      <c r="L236" s="344"/>
      <c r="M236" s="344"/>
      <c r="O236" s="344"/>
      <c r="S236" s="344"/>
    </row>
    <row r="237" spans="1:19" ht="27" thickBot="1">
      <c r="A237" s="344"/>
      <c r="B237" s="572" t="s">
        <v>516</v>
      </c>
      <c r="C237" s="520"/>
      <c r="D237" s="520"/>
      <c r="E237" s="520"/>
      <c r="F237" s="520"/>
      <c r="G237" s="520"/>
      <c r="H237" s="345" t="s">
        <v>534</v>
      </c>
      <c r="I237" s="344"/>
      <c r="J237" s="344"/>
      <c r="L237" s="344"/>
      <c r="M237" s="344"/>
      <c r="O237" s="345" t="s">
        <v>535</v>
      </c>
      <c r="S237" s="344"/>
    </row>
    <row r="238" spans="1:19" ht="47.25" thickBot="1">
      <c r="A238" s="345" t="s">
        <v>517</v>
      </c>
      <c r="B238" s="362" t="s">
        <v>369</v>
      </c>
      <c r="C238" s="563" t="s">
        <v>518</v>
      </c>
      <c r="D238" s="567"/>
      <c r="E238" s="567"/>
      <c r="F238" s="363" t="s">
        <v>492</v>
      </c>
      <c r="H238" s="364" t="s">
        <v>369</v>
      </c>
      <c r="I238" s="563" t="s">
        <v>518</v>
      </c>
      <c r="J238" s="564"/>
      <c r="K238" s="564"/>
      <c r="L238" s="564"/>
      <c r="M238" s="363" t="s">
        <v>492</v>
      </c>
      <c r="O238" s="364" t="s">
        <v>369</v>
      </c>
      <c r="P238" s="563" t="s">
        <v>518</v>
      </c>
      <c r="Q238" s="564"/>
      <c r="R238" s="564"/>
      <c r="S238" s="363" t="s">
        <v>492</v>
      </c>
    </row>
    <row r="239" spans="1:19" ht="51.75" customHeight="1" thickBot="1">
      <c r="A239" s="344"/>
      <c r="B239" s="356" t="s">
        <v>519</v>
      </c>
      <c r="C239" s="568" t="s">
        <v>528</v>
      </c>
      <c r="D239" s="569"/>
      <c r="E239" s="569"/>
      <c r="F239" s="356">
        <v>5</v>
      </c>
      <c r="H239" s="356" t="s">
        <v>519</v>
      </c>
      <c r="I239" s="565" t="s">
        <v>529</v>
      </c>
      <c r="J239" s="566"/>
      <c r="K239" s="566"/>
      <c r="L239" s="566"/>
      <c r="M239" s="356">
        <v>5</v>
      </c>
      <c r="O239" s="356" t="s">
        <v>519</v>
      </c>
      <c r="P239" s="561" t="s">
        <v>536</v>
      </c>
      <c r="Q239" s="562"/>
      <c r="R239" s="562"/>
      <c r="S239" s="356">
        <v>5</v>
      </c>
    </row>
    <row r="240" spans="1:19" ht="50.25" customHeight="1" thickBot="1">
      <c r="A240" s="344"/>
      <c r="B240" s="356" t="s">
        <v>520</v>
      </c>
      <c r="C240" s="568" t="s">
        <v>527</v>
      </c>
      <c r="D240" s="569"/>
      <c r="E240" s="569"/>
      <c r="F240" s="356">
        <v>4</v>
      </c>
      <c r="H240" s="356" t="s">
        <v>520</v>
      </c>
      <c r="I240" s="565" t="s">
        <v>530</v>
      </c>
      <c r="J240" s="566"/>
      <c r="K240" s="566"/>
      <c r="L240" s="566"/>
      <c r="M240" s="356">
        <v>4</v>
      </c>
      <c r="O240" s="356" t="s">
        <v>520</v>
      </c>
      <c r="P240" s="561" t="s">
        <v>537</v>
      </c>
      <c r="Q240" s="562"/>
      <c r="R240" s="562"/>
      <c r="S240" s="356">
        <v>4</v>
      </c>
    </row>
    <row r="241" spans="1:19" ht="48" customHeight="1" thickBot="1">
      <c r="A241" s="344"/>
      <c r="B241" s="356" t="s">
        <v>521</v>
      </c>
      <c r="C241" s="568" t="s">
        <v>526</v>
      </c>
      <c r="D241" s="569"/>
      <c r="E241" s="569"/>
      <c r="F241" s="356">
        <v>3</v>
      </c>
      <c r="H241" s="356" t="s">
        <v>521</v>
      </c>
      <c r="I241" s="565" t="s">
        <v>531</v>
      </c>
      <c r="J241" s="566"/>
      <c r="K241" s="566"/>
      <c r="L241" s="566"/>
      <c r="M241" s="356">
        <v>3</v>
      </c>
      <c r="O241" s="356" t="s">
        <v>521</v>
      </c>
      <c r="P241" s="561" t="s">
        <v>538</v>
      </c>
      <c r="Q241" s="562"/>
      <c r="R241" s="562"/>
      <c r="S241" s="356">
        <v>3</v>
      </c>
    </row>
    <row r="242" spans="1:19" ht="48" customHeight="1" thickBot="1">
      <c r="A242" s="344"/>
      <c r="B242" s="356" t="s">
        <v>522</v>
      </c>
      <c r="C242" s="568" t="s">
        <v>523</v>
      </c>
      <c r="D242" s="569"/>
      <c r="E242" s="569"/>
      <c r="F242" s="356">
        <v>2</v>
      </c>
      <c r="H242" s="356" t="s">
        <v>522</v>
      </c>
      <c r="I242" s="565" t="s">
        <v>532</v>
      </c>
      <c r="J242" s="566"/>
      <c r="K242" s="566"/>
      <c r="L242" s="566"/>
      <c r="M242" s="356">
        <v>2</v>
      </c>
      <c r="O242" s="356" t="s">
        <v>522</v>
      </c>
      <c r="P242" s="561" t="s">
        <v>539</v>
      </c>
      <c r="Q242" s="562"/>
      <c r="R242" s="562"/>
      <c r="S242" s="356">
        <v>2</v>
      </c>
    </row>
    <row r="243" spans="1:19" ht="47.25" customHeight="1" thickBot="1">
      <c r="A243" s="344"/>
      <c r="B243" s="356" t="s">
        <v>524</v>
      </c>
      <c r="C243" s="568" t="s">
        <v>525</v>
      </c>
      <c r="D243" s="569"/>
      <c r="E243" s="569"/>
      <c r="F243" s="356">
        <v>1</v>
      </c>
      <c r="H243" s="356" t="s">
        <v>524</v>
      </c>
      <c r="I243" s="565" t="s">
        <v>533</v>
      </c>
      <c r="J243" s="566"/>
      <c r="K243" s="566"/>
      <c r="L243" s="566"/>
      <c r="M243" s="356">
        <v>1</v>
      </c>
      <c r="O243" s="356" t="s">
        <v>524</v>
      </c>
      <c r="P243" s="561" t="s">
        <v>540</v>
      </c>
      <c r="Q243" s="562"/>
      <c r="R243" s="562"/>
      <c r="S243" s="356">
        <v>1</v>
      </c>
    </row>
    <row r="244" spans="1:19">
      <c r="A244" s="344"/>
      <c r="B244" s="344"/>
      <c r="C244" s="344"/>
      <c r="D244" s="344"/>
      <c r="E244" s="344"/>
      <c r="F244" s="344"/>
      <c r="G244" s="344"/>
      <c r="H244" s="344"/>
      <c r="I244" s="344"/>
      <c r="J244" s="344"/>
      <c r="K244" s="344"/>
      <c r="L244" s="344"/>
      <c r="M244" s="344"/>
      <c r="O244" s="344"/>
      <c r="S244" s="344"/>
    </row>
    <row r="245" spans="1:19">
      <c r="A245" s="344"/>
    </row>
    <row r="246" spans="1:19">
      <c r="A246" s="385" t="str">
        <f>"แผนบริหารหลักสูตรด้านจำนวนอาจารย์ประจำหลักสูตรให้เป็นไปตามเกณฑ์มาตรฐานหลักสูตร ปีการศึกษา พ.ศ."&amp;'1.1'!B7</f>
        <v>แผนบริหารหลักสูตรด้านจำนวนอาจารย์ประจำหลักสูตรให้เป็นไปตามเกณฑ์มาตรฐานหลักสูตร ปีการศึกษา พ.ศ.2560</v>
      </c>
      <c r="B246" s="385"/>
      <c r="C246" s="385"/>
      <c r="D246" s="385"/>
      <c r="E246" s="385"/>
      <c r="F246" s="385"/>
      <c r="G246" s="385"/>
      <c r="H246" s="385"/>
      <c r="I246" s="385"/>
      <c r="J246" s="385"/>
      <c r="K246" s="385"/>
    </row>
    <row r="247" spans="1:19">
      <c r="A247" s="344"/>
    </row>
    <row r="248" spans="1:19" ht="26.25">
      <c r="A248" s="383" t="s">
        <v>69</v>
      </c>
      <c r="B248" s="386" t="s">
        <v>560</v>
      </c>
      <c r="C248" s="86"/>
      <c r="D248" s="663">
        <v>42947</v>
      </c>
      <c r="E248" s="664"/>
      <c r="F248" s="383"/>
    </row>
    <row r="249" spans="1:19" ht="26.25">
      <c r="A249" s="668" t="s">
        <v>558</v>
      </c>
      <c r="B249" s="670" t="s">
        <v>559</v>
      </c>
      <c r="C249" s="671"/>
      <c r="D249" s="671"/>
      <c r="E249" s="670" t="s">
        <v>561</v>
      </c>
      <c r="F249" s="671"/>
      <c r="G249" s="667" t="s">
        <v>565</v>
      </c>
      <c r="H249" s="667"/>
      <c r="I249" s="667"/>
      <c r="J249" s="667" t="s">
        <v>566</v>
      </c>
      <c r="K249" s="667"/>
    </row>
    <row r="250" spans="1:19">
      <c r="A250" s="669"/>
      <c r="B250" s="671"/>
      <c r="C250" s="671"/>
      <c r="D250" s="671"/>
      <c r="E250" s="671"/>
      <c r="F250" s="671"/>
      <c r="G250" s="387" t="s">
        <v>562</v>
      </c>
      <c r="H250" s="387" t="s">
        <v>563</v>
      </c>
      <c r="I250" s="387" t="s">
        <v>564</v>
      </c>
      <c r="J250" s="667"/>
      <c r="K250" s="667"/>
    </row>
    <row r="251" spans="1:19">
      <c r="A251" s="387">
        <v>1</v>
      </c>
      <c r="B251" s="587" t="str">
        <f>B103</f>
        <v>นายร้รั้นี้น</v>
      </c>
      <c r="C251" s="665"/>
      <c r="D251" s="665"/>
      <c r="E251" s="673">
        <v>37021</v>
      </c>
      <c r="F251" s="674"/>
      <c r="G251" s="68">
        <f>DATEDIF(E251,$D$248,"Y")</f>
        <v>16</v>
      </c>
      <c r="H251" s="68">
        <f>DATEDIF(E251,$D$248,"YM")</f>
        <v>2</v>
      </c>
      <c r="I251" s="68">
        <f>DATEDIF(E251,$D$248,"md")</f>
        <v>21</v>
      </c>
      <c r="J251" s="587" t="str">
        <f>G251&amp;"  ปี    "&amp;H251&amp;"  เดือน    "&amp;I251&amp;"  วัน"</f>
        <v>16  ปี    2  เดือน    21  วัน</v>
      </c>
      <c r="K251" s="665"/>
    </row>
    <row r="252" spans="1:19">
      <c r="A252" s="387">
        <v>2</v>
      </c>
      <c r="B252" s="587" t="str">
        <f t="shared" ref="B252:B260" si="7">B104</f>
        <v>นาง</v>
      </c>
      <c r="C252" s="665"/>
      <c r="D252" s="665"/>
      <c r="E252" s="673">
        <v>41711</v>
      </c>
      <c r="F252" s="674"/>
      <c r="G252" s="68">
        <f t="shared" ref="G252:G260" si="8">DATEDIF(E252,$D$248,"Y")</f>
        <v>3</v>
      </c>
      <c r="H252" s="68">
        <f t="shared" ref="H252:H260" si="9">DATEDIF(E252,$D$248,"YM")</f>
        <v>4</v>
      </c>
      <c r="I252" s="68">
        <f t="shared" ref="I252:I260" si="10">DATEDIF(E252,$D$248,"md")</f>
        <v>18</v>
      </c>
      <c r="J252" s="587" t="str">
        <f t="shared" ref="J252:J260" si="11">G252&amp;"  ปี    "&amp;H252&amp;"  เดือน    "&amp;I252&amp;"  วัน"</f>
        <v>3  ปี    4  เดือน    18  วัน</v>
      </c>
      <c r="K252" s="665"/>
    </row>
    <row r="253" spans="1:19">
      <c r="A253" s="387">
        <v>3</v>
      </c>
      <c r="B253" s="587" t="str">
        <f t="shared" si="7"/>
        <v>นาย</v>
      </c>
      <c r="C253" s="665"/>
      <c r="D253" s="665"/>
      <c r="E253" s="673">
        <v>41653</v>
      </c>
      <c r="F253" s="674"/>
      <c r="G253" s="68">
        <f t="shared" si="8"/>
        <v>3</v>
      </c>
      <c r="H253" s="68">
        <f t="shared" si="9"/>
        <v>6</v>
      </c>
      <c r="I253" s="68">
        <f t="shared" si="10"/>
        <v>17</v>
      </c>
      <c r="J253" s="587" t="str">
        <f t="shared" si="11"/>
        <v>3  ปี    6  เดือน    17  วัน</v>
      </c>
      <c r="K253" s="665"/>
    </row>
    <row r="254" spans="1:19">
      <c r="A254" s="387">
        <v>4</v>
      </c>
      <c r="B254" s="587" t="str">
        <f t="shared" si="7"/>
        <v>นาง</v>
      </c>
      <c r="C254" s="665"/>
      <c r="D254" s="665"/>
      <c r="E254" s="673">
        <v>41320</v>
      </c>
      <c r="F254" s="674"/>
      <c r="G254" s="68">
        <f t="shared" si="8"/>
        <v>4</v>
      </c>
      <c r="H254" s="68">
        <f t="shared" si="9"/>
        <v>5</v>
      </c>
      <c r="I254" s="68">
        <f t="shared" si="10"/>
        <v>16</v>
      </c>
      <c r="J254" s="587" t="str">
        <f t="shared" si="11"/>
        <v>4  ปี    5  เดือน    16  วัน</v>
      </c>
      <c r="K254" s="665"/>
    </row>
    <row r="255" spans="1:19">
      <c r="A255" s="387">
        <v>5</v>
      </c>
      <c r="B255" s="587" t="str">
        <f t="shared" si="7"/>
        <v>นาย</v>
      </c>
      <c r="C255" s="665"/>
      <c r="D255" s="665"/>
      <c r="E255" s="673">
        <v>41928</v>
      </c>
      <c r="F255" s="674"/>
      <c r="G255" s="68">
        <f t="shared" si="8"/>
        <v>2</v>
      </c>
      <c r="H255" s="68">
        <f t="shared" si="9"/>
        <v>9</v>
      </c>
      <c r="I255" s="68">
        <f t="shared" si="10"/>
        <v>15</v>
      </c>
      <c r="J255" s="587" t="str">
        <f t="shared" si="11"/>
        <v>2  ปี    9  เดือน    15  วัน</v>
      </c>
      <c r="K255" s="665"/>
    </row>
    <row r="256" spans="1:19">
      <c r="A256" s="387">
        <v>6</v>
      </c>
      <c r="B256" s="587" t="str">
        <f t="shared" si="7"/>
        <v>นาย</v>
      </c>
      <c r="C256" s="665"/>
      <c r="D256" s="665"/>
      <c r="E256" s="673">
        <v>41929</v>
      </c>
      <c r="F256" s="674"/>
      <c r="G256" s="68">
        <f t="shared" si="8"/>
        <v>2</v>
      </c>
      <c r="H256" s="68">
        <f t="shared" si="9"/>
        <v>9</v>
      </c>
      <c r="I256" s="68">
        <f t="shared" si="10"/>
        <v>14</v>
      </c>
      <c r="J256" s="587" t="str">
        <f t="shared" si="11"/>
        <v>2  ปี    9  เดือน    14  วัน</v>
      </c>
      <c r="K256" s="665"/>
    </row>
    <row r="257" spans="1:11">
      <c r="A257" s="387">
        <v>7</v>
      </c>
      <c r="B257" s="587" t="str">
        <f t="shared" si="7"/>
        <v>นาย</v>
      </c>
      <c r="C257" s="665"/>
      <c r="D257" s="665"/>
      <c r="E257" s="673">
        <v>41930</v>
      </c>
      <c r="F257" s="674"/>
      <c r="G257" s="68">
        <f t="shared" si="8"/>
        <v>2</v>
      </c>
      <c r="H257" s="68">
        <f t="shared" si="9"/>
        <v>9</v>
      </c>
      <c r="I257" s="68">
        <f t="shared" si="10"/>
        <v>13</v>
      </c>
      <c r="J257" s="587" t="str">
        <f t="shared" si="11"/>
        <v>2  ปี    9  เดือน    13  วัน</v>
      </c>
      <c r="K257" s="665"/>
    </row>
    <row r="258" spans="1:11">
      <c r="A258" s="387">
        <v>8</v>
      </c>
      <c r="B258" s="587" t="str">
        <f t="shared" si="7"/>
        <v>นาย</v>
      </c>
      <c r="C258" s="665"/>
      <c r="D258" s="665"/>
      <c r="E258" s="673">
        <v>41931</v>
      </c>
      <c r="F258" s="674"/>
      <c r="G258" s="68">
        <f t="shared" si="8"/>
        <v>2</v>
      </c>
      <c r="H258" s="68">
        <f t="shared" si="9"/>
        <v>9</v>
      </c>
      <c r="I258" s="68">
        <f t="shared" si="10"/>
        <v>12</v>
      </c>
      <c r="J258" s="587" t="str">
        <f t="shared" si="11"/>
        <v>2  ปี    9  เดือน    12  วัน</v>
      </c>
      <c r="K258" s="665"/>
    </row>
    <row r="259" spans="1:11">
      <c r="A259" s="387">
        <v>9</v>
      </c>
      <c r="B259" s="587" t="str">
        <f t="shared" si="7"/>
        <v>นาย</v>
      </c>
      <c r="C259" s="665"/>
      <c r="D259" s="665"/>
      <c r="E259" s="673">
        <v>41932</v>
      </c>
      <c r="F259" s="674"/>
      <c r="G259" s="68">
        <f t="shared" si="8"/>
        <v>2</v>
      </c>
      <c r="H259" s="68">
        <f t="shared" si="9"/>
        <v>9</v>
      </c>
      <c r="I259" s="68">
        <f t="shared" si="10"/>
        <v>11</v>
      </c>
      <c r="J259" s="587" t="str">
        <f t="shared" si="11"/>
        <v>2  ปี    9  เดือน    11  วัน</v>
      </c>
      <c r="K259" s="665"/>
    </row>
    <row r="260" spans="1:11">
      <c r="A260" s="387">
        <v>10</v>
      </c>
      <c r="B260" s="587" t="str">
        <f t="shared" si="7"/>
        <v>นาย</v>
      </c>
      <c r="C260" s="665"/>
      <c r="D260" s="665"/>
      <c r="E260" s="673">
        <v>41933</v>
      </c>
      <c r="F260" s="674"/>
      <c r="G260" s="68">
        <f t="shared" si="8"/>
        <v>2</v>
      </c>
      <c r="H260" s="68">
        <f t="shared" si="9"/>
        <v>9</v>
      </c>
      <c r="I260" s="68">
        <f t="shared" si="10"/>
        <v>10</v>
      </c>
      <c r="J260" s="587" t="str">
        <f t="shared" si="11"/>
        <v>2  ปี    9  เดือน    10  วัน</v>
      </c>
      <c r="K260" s="665"/>
    </row>
    <row r="261" spans="1:11">
      <c r="A261" s="381" t="s">
        <v>69</v>
      </c>
      <c r="B261" s="382"/>
      <c r="C261" s="384"/>
      <c r="D261" s="384"/>
    </row>
    <row r="262" spans="1:11">
      <c r="A262" s="344"/>
    </row>
    <row r="263" spans="1:11">
      <c r="A263" s="344"/>
    </row>
    <row r="264" spans="1:11">
      <c r="A264" s="344"/>
    </row>
    <row r="265" spans="1:11">
      <c r="A265" s="344"/>
    </row>
    <row r="266" spans="1:11">
      <c r="A266" s="344"/>
    </row>
    <row r="267" spans="1:11">
      <c r="A267" s="344"/>
    </row>
    <row r="268" spans="1:11">
      <c r="A268" s="344"/>
    </row>
    <row r="269" spans="1:11">
      <c r="A269" s="344"/>
    </row>
    <row r="270" spans="1:11">
      <c r="A270" s="344"/>
    </row>
    <row r="271" spans="1:11">
      <c r="A271" s="344"/>
    </row>
    <row r="272" spans="1:11">
      <c r="A272" s="344"/>
    </row>
    <row r="273" spans="1:1">
      <c r="A273" s="344"/>
    </row>
    <row r="274" spans="1:1">
      <c r="A274" s="344"/>
    </row>
    <row r="275" spans="1:1">
      <c r="A275" s="344"/>
    </row>
    <row r="276" spans="1:1">
      <c r="A276" s="344"/>
    </row>
    <row r="277" spans="1:1">
      <c r="A277" s="344"/>
    </row>
    <row r="278" spans="1:1">
      <c r="A278" s="344"/>
    </row>
    <row r="279" spans="1:1">
      <c r="A279" s="344"/>
    </row>
    <row r="280" spans="1:1">
      <c r="A280" s="344"/>
    </row>
    <row r="281" spans="1:1">
      <c r="A281" s="344"/>
    </row>
    <row r="282" spans="1:1">
      <c r="A282" s="344"/>
    </row>
    <row r="283" spans="1:1">
      <c r="A283" s="344"/>
    </row>
    <row r="284" spans="1:1">
      <c r="A284" s="344"/>
    </row>
    <row r="285" spans="1:1">
      <c r="A285" s="344"/>
    </row>
    <row r="286" spans="1:1">
      <c r="A286" s="344"/>
    </row>
    <row r="287" spans="1:1">
      <c r="A287" s="344"/>
    </row>
    <row r="288" spans="1:1">
      <c r="A288" s="344"/>
    </row>
    <row r="289" spans="1:1">
      <c r="A289" s="344"/>
    </row>
    <row r="290" spans="1:1">
      <c r="A290" s="344"/>
    </row>
    <row r="291" spans="1:1">
      <c r="A291" s="344"/>
    </row>
    <row r="292" spans="1:1">
      <c r="A292" s="344"/>
    </row>
    <row r="293" spans="1:1">
      <c r="A293" s="344"/>
    </row>
    <row r="294" spans="1:1">
      <c r="A294" s="344"/>
    </row>
    <row r="295" spans="1:1">
      <c r="A295" s="344"/>
    </row>
    <row r="296" spans="1:1">
      <c r="A296" s="344"/>
    </row>
    <row r="297" spans="1:1">
      <c r="A297" s="344"/>
    </row>
    <row r="298" spans="1:1">
      <c r="A298" s="344"/>
    </row>
    <row r="299" spans="1:1">
      <c r="A299" s="344"/>
    </row>
    <row r="300" spans="1:1">
      <c r="A300" s="344"/>
    </row>
    <row r="301" spans="1:1">
      <c r="A301" s="344"/>
    </row>
    <row r="302" spans="1:1">
      <c r="A302" s="344"/>
    </row>
    <row r="303" spans="1:1">
      <c r="A303" s="344"/>
    </row>
    <row r="304" spans="1:1">
      <c r="A304" s="344"/>
    </row>
    <row r="305" spans="1:1">
      <c r="A305" s="344"/>
    </row>
    <row r="306" spans="1:1">
      <c r="A306" s="344"/>
    </row>
    <row r="307" spans="1:1">
      <c r="A307" s="344"/>
    </row>
    <row r="308" spans="1:1">
      <c r="A308" s="344"/>
    </row>
    <row r="309" spans="1:1">
      <c r="A309" s="344"/>
    </row>
    <row r="310" spans="1:1">
      <c r="A310" s="344"/>
    </row>
    <row r="311" spans="1:1">
      <c r="A311" s="344"/>
    </row>
    <row r="312" spans="1:1">
      <c r="A312" s="344"/>
    </row>
    <row r="313" spans="1:1">
      <c r="A313" s="344"/>
    </row>
    <row r="314" spans="1:1">
      <c r="A314" s="344"/>
    </row>
    <row r="315" spans="1:1">
      <c r="A315" s="344"/>
    </row>
    <row r="316" spans="1:1">
      <c r="A316" s="344"/>
    </row>
    <row r="317" spans="1:1">
      <c r="A317" s="344"/>
    </row>
    <row r="318" spans="1:1">
      <c r="A318" s="344"/>
    </row>
    <row r="319" spans="1:1">
      <c r="A319" s="344"/>
    </row>
    <row r="320" spans="1:1">
      <c r="A320" s="344"/>
    </row>
    <row r="321" spans="1:1">
      <c r="A321" s="344"/>
    </row>
    <row r="322" spans="1:1">
      <c r="A322" s="344"/>
    </row>
    <row r="323" spans="1:1">
      <c r="A323" s="344"/>
    </row>
    <row r="324" spans="1:1">
      <c r="A324" s="344"/>
    </row>
    <row r="325" spans="1:1">
      <c r="A325" s="344"/>
    </row>
    <row r="326" spans="1:1">
      <c r="A326" s="344"/>
    </row>
    <row r="327" spans="1:1">
      <c r="A327" s="344"/>
    </row>
    <row r="328" spans="1:1">
      <c r="A328" s="344"/>
    </row>
    <row r="329" spans="1:1">
      <c r="A329" s="344"/>
    </row>
    <row r="330" spans="1:1">
      <c r="A330" s="344"/>
    </row>
    <row r="331" spans="1:1">
      <c r="A331" s="344"/>
    </row>
    <row r="332" spans="1:1">
      <c r="A332" s="344"/>
    </row>
    <row r="333" spans="1:1">
      <c r="A333" s="344"/>
    </row>
    <row r="334" spans="1:1">
      <c r="A334" s="344"/>
    </row>
    <row r="335" spans="1:1">
      <c r="A335" s="344"/>
    </row>
    <row r="336" spans="1:1">
      <c r="A336" s="344"/>
    </row>
    <row r="337" spans="1:1">
      <c r="A337" s="344"/>
    </row>
    <row r="338" spans="1:1">
      <c r="A338" s="344"/>
    </row>
    <row r="339" spans="1:1">
      <c r="A339" s="344"/>
    </row>
    <row r="340" spans="1:1">
      <c r="A340" s="344"/>
    </row>
    <row r="341" spans="1:1">
      <c r="A341" s="344"/>
    </row>
    <row r="342" spans="1:1">
      <c r="A342" s="344"/>
    </row>
    <row r="343" spans="1:1">
      <c r="A343" s="344"/>
    </row>
    <row r="344" spans="1:1">
      <c r="A344" s="344"/>
    </row>
    <row r="345" spans="1:1">
      <c r="A345" s="344"/>
    </row>
    <row r="346" spans="1:1">
      <c r="A346" s="344"/>
    </row>
    <row r="347" spans="1:1">
      <c r="A347" s="344"/>
    </row>
    <row r="348" spans="1:1">
      <c r="A348" s="344"/>
    </row>
    <row r="349" spans="1:1">
      <c r="A349" s="344"/>
    </row>
    <row r="350" spans="1:1">
      <c r="A350" s="344"/>
    </row>
    <row r="351" spans="1:1">
      <c r="A351" s="344"/>
    </row>
    <row r="352" spans="1:1">
      <c r="A352" s="344"/>
    </row>
    <row r="353" spans="1:1">
      <c r="A353" s="344"/>
    </row>
    <row r="354" spans="1:1">
      <c r="A354" s="344"/>
    </row>
    <row r="355" spans="1:1">
      <c r="A355" s="344"/>
    </row>
    <row r="356" spans="1:1">
      <c r="A356" s="344"/>
    </row>
    <row r="357" spans="1:1">
      <c r="A357" s="344"/>
    </row>
    <row r="358" spans="1:1">
      <c r="A358" s="344"/>
    </row>
    <row r="359" spans="1:1">
      <c r="A359" s="344"/>
    </row>
    <row r="360" spans="1:1">
      <c r="A360" s="344"/>
    </row>
    <row r="361" spans="1:1">
      <c r="A361" s="344"/>
    </row>
    <row r="362" spans="1:1">
      <c r="A362" s="344"/>
    </row>
    <row r="363" spans="1:1">
      <c r="A363" s="344"/>
    </row>
    <row r="364" spans="1:1">
      <c r="A364" s="344"/>
    </row>
    <row r="365" spans="1:1">
      <c r="A365" s="344"/>
    </row>
    <row r="366" spans="1:1">
      <c r="A366" s="344"/>
    </row>
    <row r="367" spans="1:1">
      <c r="A367" s="344"/>
    </row>
    <row r="368" spans="1:1">
      <c r="A368" s="344"/>
    </row>
    <row r="369" spans="1:1">
      <c r="A369" s="344"/>
    </row>
    <row r="370" spans="1:1">
      <c r="A370" s="344"/>
    </row>
    <row r="371" spans="1:1">
      <c r="A371" s="344"/>
    </row>
    <row r="372" spans="1:1">
      <c r="A372" s="344"/>
    </row>
    <row r="373" spans="1:1">
      <c r="A373" s="344"/>
    </row>
    <row r="374" spans="1:1">
      <c r="A374" s="344"/>
    </row>
    <row r="375" spans="1:1">
      <c r="A375" s="344"/>
    </row>
    <row r="376" spans="1:1">
      <c r="A376" s="344"/>
    </row>
    <row r="377" spans="1:1">
      <c r="A377" s="344"/>
    </row>
    <row r="378" spans="1:1">
      <c r="A378" s="344"/>
    </row>
    <row r="379" spans="1:1">
      <c r="A379" s="344"/>
    </row>
    <row r="380" spans="1:1">
      <c r="A380" s="344"/>
    </row>
    <row r="381" spans="1:1">
      <c r="A381" s="344"/>
    </row>
    <row r="382" spans="1:1">
      <c r="A382" s="344"/>
    </row>
    <row r="383" spans="1:1">
      <c r="A383" s="344"/>
    </row>
    <row r="384" spans="1:1">
      <c r="A384" s="344"/>
    </row>
    <row r="385" spans="1:1">
      <c r="A385" s="344"/>
    </row>
    <row r="386" spans="1:1">
      <c r="A386" s="344"/>
    </row>
    <row r="387" spans="1:1">
      <c r="A387" s="344"/>
    </row>
    <row r="388" spans="1:1">
      <c r="A388" s="344"/>
    </row>
    <row r="389" spans="1:1">
      <c r="A389" s="344"/>
    </row>
    <row r="390" spans="1:1">
      <c r="A390" s="344"/>
    </row>
    <row r="391" spans="1:1">
      <c r="A391" s="344"/>
    </row>
    <row r="392" spans="1:1">
      <c r="A392" s="344"/>
    </row>
    <row r="393" spans="1:1">
      <c r="A393" s="344"/>
    </row>
    <row r="394" spans="1:1">
      <c r="A394" s="344"/>
    </row>
    <row r="395" spans="1:1">
      <c r="A395" s="344"/>
    </row>
    <row r="396" spans="1:1">
      <c r="A396" s="344"/>
    </row>
    <row r="397" spans="1:1">
      <c r="A397" s="344"/>
    </row>
    <row r="398" spans="1:1">
      <c r="A398" s="344"/>
    </row>
    <row r="399" spans="1:1">
      <c r="A399" s="344"/>
    </row>
    <row r="400" spans="1:1">
      <c r="A400" s="344"/>
    </row>
    <row r="401" spans="1:1">
      <c r="A401" s="344"/>
    </row>
    <row r="402" spans="1:1">
      <c r="A402" s="344"/>
    </row>
    <row r="403" spans="1:1">
      <c r="A403" s="344"/>
    </row>
    <row r="404" spans="1:1">
      <c r="A404" s="344"/>
    </row>
    <row r="405" spans="1:1">
      <c r="A405" s="344"/>
    </row>
    <row r="406" spans="1:1">
      <c r="A406" s="344"/>
    </row>
    <row r="407" spans="1:1">
      <c r="A407" s="344"/>
    </row>
    <row r="408" spans="1:1">
      <c r="A408" s="344"/>
    </row>
    <row r="409" spans="1:1">
      <c r="A409" s="344"/>
    </row>
    <row r="410" spans="1:1">
      <c r="A410" s="344"/>
    </row>
    <row r="411" spans="1:1">
      <c r="A411" s="344"/>
    </row>
    <row r="412" spans="1:1">
      <c r="A412" s="344"/>
    </row>
    <row r="413" spans="1:1">
      <c r="A413" s="344"/>
    </row>
    <row r="414" spans="1:1">
      <c r="A414" s="344"/>
    </row>
    <row r="415" spans="1:1">
      <c r="A415" s="344"/>
    </row>
    <row r="416" spans="1:1">
      <c r="A416" s="344"/>
    </row>
    <row r="417" spans="1:1">
      <c r="A417" s="344"/>
    </row>
    <row r="418" spans="1:1">
      <c r="A418" s="344"/>
    </row>
    <row r="446" spans="2:2">
      <c r="B446" s="354"/>
    </row>
  </sheetData>
  <sheetProtection algorithmName="SHA-512" hashValue="oUnphLaC8YfcKAgRfDpUa0b8MItPwWs41HvWjfP7pUQ/EcHFrw8wLP7Pv6RwgNZDnS0PI6HzIN9+gSowaonZ1A==" saltValue="CIjvIn/lSUgF4AckApXQIQ==" spinCount="100000" sheet="1" objects="1" scenarios="1" formatRows="0"/>
  <protectedRanges>
    <protectedRange sqref="F122:F126 H122:J126 E251:F260 D248" name="Range2"/>
    <protectedRange sqref="E8:M27 E35:M54 I83 B103:Q117 H122:J126 F131:J137 E143:O157 B163:M200 O163:S200 B208:H225 J208:O225 E62:G81 J62:M81" name="Range1"/>
  </protectedRanges>
  <dataConsolidate/>
  <mergeCells count="773">
    <mergeCell ref="J260:K260"/>
    <mergeCell ref="J249:K250"/>
    <mergeCell ref="J251:K251"/>
    <mergeCell ref="J252:K252"/>
    <mergeCell ref="J253:K253"/>
    <mergeCell ref="J254:K254"/>
    <mergeCell ref="J255:K255"/>
    <mergeCell ref="J256:K256"/>
    <mergeCell ref="J257:K257"/>
    <mergeCell ref="J258:K258"/>
    <mergeCell ref="J259:K259"/>
    <mergeCell ref="B256:D256"/>
    <mergeCell ref="B257:D257"/>
    <mergeCell ref="B258:D258"/>
    <mergeCell ref="B259:D259"/>
    <mergeCell ref="B260:D260"/>
    <mergeCell ref="E251:F251"/>
    <mergeCell ref="E252:F252"/>
    <mergeCell ref="E253:F253"/>
    <mergeCell ref="E254:F254"/>
    <mergeCell ref="E255:F255"/>
    <mergeCell ref="E256:F256"/>
    <mergeCell ref="E257:F257"/>
    <mergeCell ref="E258:F258"/>
    <mergeCell ref="E259:F259"/>
    <mergeCell ref="E260:F260"/>
    <mergeCell ref="G249:I249"/>
    <mergeCell ref="A249:A250"/>
    <mergeCell ref="B249:D250"/>
    <mergeCell ref="E249:F250"/>
    <mergeCell ref="B255:D255"/>
    <mergeCell ref="N161:N162"/>
    <mergeCell ref="O161:Q161"/>
    <mergeCell ref="B166:C166"/>
    <mergeCell ref="D166:E166"/>
    <mergeCell ref="B167:C167"/>
    <mergeCell ref="D167:E167"/>
    <mergeCell ref="B168:C168"/>
    <mergeCell ref="D168:E168"/>
    <mergeCell ref="B163:C163"/>
    <mergeCell ref="D163:E163"/>
    <mergeCell ref="A161:A162"/>
    <mergeCell ref="F192:G192"/>
    <mergeCell ref="F193:G193"/>
    <mergeCell ref="F194:G194"/>
    <mergeCell ref="F177:G177"/>
    <mergeCell ref="D248:E248"/>
    <mergeCell ref="B251:D251"/>
    <mergeCell ref="B252:D252"/>
    <mergeCell ref="B253:D253"/>
    <mergeCell ref="B254:D254"/>
    <mergeCell ref="F167:G167"/>
    <mergeCell ref="F168:G168"/>
    <mergeCell ref="L146:M146"/>
    <mergeCell ref="N146:O146"/>
    <mergeCell ref="J147:K147"/>
    <mergeCell ref="L147:M147"/>
    <mergeCell ref="N147:O147"/>
    <mergeCell ref="L153:M153"/>
    <mergeCell ref="N153:O153"/>
    <mergeCell ref="J154:K154"/>
    <mergeCell ref="L154:M154"/>
    <mergeCell ref="N154:O154"/>
    <mergeCell ref="J146:K146"/>
    <mergeCell ref="J153:K153"/>
    <mergeCell ref="F165:G165"/>
    <mergeCell ref="F166:G166"/>
    <mergeCell ref="L161:M161"/>
    <mergeCell ref="O164:P164"/>
    <mergeCell ref="O165:P165"/>
    <mergeCell ref="E41:I41"/>
    <mergeCell ref="E42:I42"/>
    <mergeCell ref="E43:I43"/>
    <mergeCell ref="E44:I44"/>
    <mergeCell ref="E45:I45"/>
    <mergeCell ref="E46:I46"/>
    <mergeCell ref="E67:I67"/>
    <mergeCell ref="E65:I65"/>
    <mergeCell ref="K61:M61"/>
    <mergeCell ref="K62:M62"/>
    <mergeCell ref="K63:M63"/>
    <mergeCell ref="K64:M64"/>
    <mergeCell ref="K65:M65"/>
    <mergeCell ref="K66:M66"/>
    <mergeCell ref="K67:M67"/>
    <mergeCell ref="K45:M45"/>
    <mergeCell ref="K46:M46"/>
    <mergeCell ref="K47:M47"/>
    <mergeCell ref="K48:M48"/>
    <mergeCell ref="K49:M49"/>
    <mergeCell ref="K50:M50"/>
    <mergeCell ref="K51:M51"/>
    <mergeCell ref="K52:M52"/>
    <mergeCell ref="K53:M53"/>
    <mergeCell ref="G101:H102"/>
    <mergeCell ref="I101:M101"/>
    <mergeCell ref="A85:Q85"/>
    <mergeCell ref="A101:A102"/>
    <mergeCell ref="O83:T83"/>
    <mergeCell ref="A99:C99"/>
    <mergeCell ref="E62:I62"/>
    <mergeCell ref="E63:I63"/>
    <mergeCell ref="E64:I64"/>
    <mergeCell ref="E66:I66"/>
    <mergeCell ref="K76:M76"/>
    <mergeCell ref="K80:M80"/>
    <mergeCell ref="O80:T80"/>
    <mergeCell ref="O81:T81"/>
    <mergeCell ref="O82:T82"/>
    <mergeCell ref="K77:M77"/>
    <mergeCell ref="E47:I47"/>
    <mergeCell ref="E48:I48"/>
    <mergeCell ref="E49:I49"/>
    <mergeCell ref="E50:I50"/>
    <mergeCell ref="E51:I51"/>
    <mergeCell ref="E52:I52"/>
    <mergeCell ref="E53:I53"/>
    <mergeCell ref="E54:I54"/>
    <mergeCell ref="E61:I61"/>
    <mergeCell ref="A35:A40"/>
    <mergeCell ref="A41:A43"/>
    <mergeCell ref="A44:A47"/>
    <mergeCell ref="B35:D40"/>
    <mergeCell ref="A71:A74"/>
    <mergeCell ref="A76:A81"/>
    <mergeCell ref="A49:A54"/>
    <mergeCell ref="A62:A67"/>
    <mergeCell ref="A68:A70"/>
    <mergeCell ref="B75:D75"/>
    <mergeCell ref="B76:D81"/>
    <mergeCell ref="B62:D67"/>
    <mergeCell ref="B41:D43"/>
    <mergeCell ref="B44:D47"/>
    <mergeCell ref="B48:D48"/>
    <mergeCell ref="B49:D54"/>
    <mergeCell ref="B61:D61"/>
    <mergeCell ref="B68:D70"/>
    <mergeCell ref="B71:D74"/>
    <mergeCell ref="E12:I12"/>
    <mergeCell ref="E13:I13"/>
    <mergeCell ref="E14:I14"/>
    <mergeCell ref="E15:I15"/>
    <mergeCell ref="A22:A27"/>
    <mergeCell ref="A8:A13"/>
    <mergeCell ref="A14:A16"/>
    <mergeCell ref="A17:A20"/>
    <mergeCell ref="B8:D13"/>
    <mergeCell ref="B17:D20"/>
    <mergeCell ref="B21:D21"/>
    <mergeCell ref="B14:D16"/>
    <mergeCell ref="B22:D27"/>
    <mergeCell ref="E81:I81"/>
    <mergeCell ref="K68:M68"/>
    <mergeCell ref="K69:M69"/>
    <mergeCell ref="K70:M70"/>
    <mergeCell ref="A1:M1"/>
    <mergeCell ref="K38:M38"/>
    <mergeCell ref="K39:M39"/>
    <mergeCell ref="K40:M40"/>
    <mergeCell ref="K41:M41"/>
    <mergeCell ref="K42:M42"/>
    <mergeCell ref="K43:M43"/>
    <mergeCell ref="K44:M44"/>
    <mergeCell ref="B7:D7"/>
    <mergeCell ref="E16:I16"/>
    <mergeCell ref="E17:I17"/>
    <mergeCell ref="B34:D34"/>
    <mergeCell ref="E38:I38"/>
    <mergeCell ref="E39:I39"/>
    <mergeCell ref="E40:I40"/>
    <mergeCell ref="E7:I7"/>
    <mergeCell ref="E8:I8"/>
    <mergeCell ref="E9:I9"/>
    <mergeCell ref="E10:I10"/>
    <mergeCell ref="E11:I11"/>
    <mergeCell ref="E68:I68"/>
    <mergeCell ref="E69:I69"/>
    <mergeCell ref="E70:I70"/>
    <mergeCell ref="E71:I71"/>
    <mergeCell ref="E72:I72"/>
    <mergeCell ref="E73:I73"/>
    <mergeCell ref="E74:I74"/>
    <mergeCell ref="E75:I75"/>
    <mergeCell ref="E76:I76"/>
    <mergeCell ref="E114:F114"/>
    <mergeCell ref="K71:M71"/>
    <mergeCell ref="K72:M72"/>
    <mergeCell ref="K73:M73"/>
    <mergeCell ref="K74:M74"/>
    <mergeCell ref="K75:M75"/>
    <mergeCell ref="B101:D102"/>
    <mergeCell ref="B105:D105"/>
    <mergeCell ref="B106:D106"/>
    <mergeCell ref="B107:D107"/>
    <mergeCell ref="B103:D103"/>
    <mergeCell ref="E101:F102"/>
    <mergeCell ref="E103:F103"/>
    <mergeCell ref="G104:H104"/>
    <mergeCell ref="G105:H105"/>
    <mergeCell ref="G106:H106"/>
    <mergeCell ref="G107:H107"/>
    <mergeCell ref="K78:M78"/>
    <mergeCell ref="K79:M79"/>
    <mergeCell ref="K81:M81"/>
    <mergeCell ref="E77:I77"/>
    <mergeCell ref="E78:I78"/>
    <mergeCell ref="E79:I79"/>
    <mergeCell ref="E80:I80"/>
    <mergeCell ref="O115:Q115"/>
    <mergeCell ref="O116:Q116"/>
    <mergeCell ref="G113:H113"/>
    <mergeCell ref="G114:H114"/>
    <mergeCell ref="G115:H115"/>
    <mergeCell ref="G116:H116"/>
    <mergeCell ref="G117:H117"/>
    <mergeCell ref="G108:H108"/>
    <mergeCell ref="G109:H109"/>
    <mergeCell ref="G110:H110"/>
    <mergeCell ref="G111:H111"/>
    <mergeCell ref="G112:H112"/>
    <mergeCell ref="O110:Q110"/>
    <mergeCell ref="O111:Q111"/>
    <mergeCell ref="O112:Q112"/>
    <mergeCell ref="O113:Q113"/>
    <mergeCell ref="O114:Q114"/>
    <mergeCell ref="O117:Q117"/>
    <mergeCell ref="N142:O142"/>
    <mergeCell ref="B141:E141"/>
    <mergeCell ref="L143:M143"/>
    <mergeCell ref="N143:O143"/>
    <mergeCell ref="L144:M144"/>
    <mergeCell ref="N144:O144"/>
    <mergeCell ref="L145:M145"/>
    <mergeCell ref="N145:O145"/>
    <mergeCell ref="J142:K142"/>
    <mergeCell ref="L142:M142"/>
    <mergeCell ref="E142:F142"/>
    <mergeCell ref="H142:I142"/>
    <mergeCell ref="J143:K143"/>
    <mergeCell ref="J144:K144"/>
    <mergeCell ref="J145:K145"/>
    <mergeCell ref="B142:D142"/>
    <mergeCell ref="B143:D143"/>
    <mergeCell ref="B144:D144"/>
    <mergeCell ref="B145:D145"/>
    <mergeCell ref="H143:I143"/>
    <mergeCell ref="H144:I144"/>
    <mergeCell ref="H145:I145"/>
    <mergeCell ref="B126:E126"/>
    <mergeCell ref="B164:C164"/>
    <mergeCell ref="D164:E164"/>
    <mergeCell ref="F163:G163"/>
    <mergeCell ref="B146:D146"/>
    <mergeCell ref="B147:D147"/>
    <mergeCell ref="B153:D153"/>
    <mergeCell ref="B154:D154"/>
    <mergeCell ref="F164:G164"/>
    <mergeCell ref="B161:C162"/>
    <mergeCell ref="D161:E162"/>
    <mergeCell ref="F161:G162"/>
    <mergeCell ref="E143:F143"/>
    <mergeCell ref="E144:F144"/>
    <mergeCell ref="E145:F145"/>
    <mergeCell ref="B156:D156"/>
    <mergeCell ref="E156:F156"/>
    <mergeCell ref="B122:E122"/>
    <mergeCell ref="B123:E123"/>
    <mergeCell ref="B124:E124"/>
    <mergeCell ref="B125:E125"/>
    <mergeCell ref="H161:I162"/>
    <mergeCell ref="B137:E137"/>
    <mergeCell ref="B136:E136"/>
    <mergeCell ref="A138:E138"/>
    <mergeCell ref="F169:G169"/>
    <mergeCell ref="H163:I163"/>
    <mergeCell ref="H164:I164"/>
    <mergeCell ref="H165:I165"/>
    <mergeCell ref="H166:I166"/>
    <mergeCell ref="H167:I167"/>
    <mergeCell ref="H168:I168"/>
    <mergeCell ref="H169:I169"/>
    <mergeCell ref="B169:C169"/>
    <mergeCell ref="D169:E169"/>
    <mergeCell ref="H153:I153"/>
    <mergeCell ref="H154:I154"/>
    <mergeCell ref="E146:F146"/>
    <mergeCell ref="E147:F147"/>
    <mergeCell ref="E153:F153"/>
    <mergeCell ref="E154:F154"/>
    <mergeCell ref="F178:G178"/>
    <mergeCell ref="F179:G179"/>
    <mergeCell ref="F180:G180"/>
    <mergeCell ref="F181:G181"/>
    <mergeCell ref="F172:G172"/>
    <mergeCell ref="F173:G173"/>
    <mergeCell ref="F174:G174"/>
    <mergeCell ref="F175:G175"/>
    <mergeCell ref="F176:G176"/>
    <mergeCell ref="F187:G187"/>
    <mergeCell ref="F188:G188"/>
    <mergeCell ref="F189:G189"/>
    <mergeCell ref="F190:G190"/>
    <mergeCell ref="F191:G191"/>
    <mergeCell ref="F182:G182"/>
    <mergeCell ref="F183:G183"/>
    <mergeCell ref="F184:G184"/>
    <mergeCell ref="F185:G185"/>
    <mergeCell ref="F186:G186"/>
    <mergeCell ref="H197:I197"/>
    <mergeCell ref="H198:I198"/>
    <mergeCell ref="H189:I189"/>
    <mergeCell ref="H190:I190"/>
    <mergeCell ref="H191:I191"/>
    <mergeCell ref="H192:I192"/>
    <mergeCell ref="H193:I193"/>
    <mergeCell ref="H184:I184"/>
    <mergeCell ref="H185:I185"/>
    <mergeCell ref="H186:I186"/>
    <mergeCell ref="H187:I187"/>
    <mergeCell ref="H188:I188"/>
    <mergeCell ref="H199:I199"/>
    <mergeCell ref="H200:I200"/>
    <mergeCell ref="J161:K162"/>
    <mergeCell ref="J163:K163"/>
    <mergeCell ref="J164:K164"/>
    <mergeCell ref="J165:K165"/>
    <mergeCell ref="J166:K166"/>
    <mergeCell ref="J167:K167"/>
    <mergeCell ref="J168:K168"/>
    <mergeCell ref="J169:K169"/>
    <mergeCell ref="J170:K170"/>
    <mergeCell ref="J171:K171"/>
    <mergeCell ref="J172:K172"/>
    <mergeCell ref="J173:K173"/>
    <mergeCell ref="J174:K174"/>
    <mergeCell ref="J175:K175"/>
    <mergeCell ref="H194:I194"/>
    <mergeCell ref="H195:I195"/>
    <mergeCell ref="H196:I196"/>
    <mergeCell ref="H174:I174"/>
    <mergeCell ref="H175:I175"/>
    <mergeCell ref="H176:I176"/>
    <mergeCell ref="H177:I177"/>
    <mergeCell ref="H178:I178"/>
    <mergeCell ref="J186:K186"/>
    <mergeCell ref="J187:K187"/>
    <mergeCell ref="J188:K188"/>
    <mergeCell ref="J189:K189"/>
    <mergeCell ref="J190:K190"/>
    <mergeCell ref="J181:K181"/>
    <mergeCell ref="J182:K182"/>
    <mergeCell ref="J183:K183"/>
    <mergeCell ref="J184:K184"/>
    <mergeCell ref="J185:K185"/>
    <mergeCell ref="J196:K196"/>
    <mergeCell ref="J197:K197"/>
    <mergeCell ref="J198:K198"/>
    <mergeCell ref="J199:K199"/>
    <mergeCell ref="J200:K200"/>
    <mergeCell ref="J191:K191"/>
    <mergeCell ref="J192:K192"/>
    <mergeCell ref="J193:K193"/>
    <mergeCell ref="J194:K194"/>
    <mergeCell ref="J195:K195"/>
    <mergeCell ref="O186:P186"/>
    <mergeCell ref="O187:P187"/>
    <mergeCell ref="O188:P188"/>
    <mergeCell ref="O179:P179"/>
    <mergeCell ref="O180:P180"/>
    <mergeCell ref="O181:P181"/>
    <mergeCell ref="O182:P182"/>
    <mergeCell ref="O183:P183"/>
    <mergeCell ref="O162:P162"/>
    <mergeCell ref="O163:P163"/>
    <mergeCell ref="O174:P174"/>
    <mergeCell ref="O175:P175"/>
    <mergeCell ref="O176:P176"/>
    <mergeCell ref="O177:P177"/>
    <mergeCell ref="O178:P178"/>
    <mergeCell ref="O169:P169"/>
    <mergeCell ref="O170:P170"/>
    <mergeCell ref="O171:P171"/>
    <mergeCell ref="O172:P172"/>
    <mergeCell ref="O173:P173"/>
    <mergeCell ref="O168:P168"/>
    <mergeCell ref="O166:P166"/>
    <mergeCell ref="O167:P167"/>
    <mergeCell ref="R161:S162"/>
    <mergeCell ref="R163:S163"/>
    <mergeCell ref="R164:S164"/>
    <mergeCell ref="R165:S165"/>
    <mergeCell ref="R166:S166"/>
    <mergeCell ref="R167:S167"/>
    <mergeCell ref="R168:S168"/>
    <mergeCell ref="R169:S169"/>
    <mergeCell ref="R170:S170"/>
    <mergeCell ref="R171:S171"/>
    <mergeCell ref="R172:S172"/>
    <mergeCell ref="R173:S173"/>
    <mergeCell ref="R174:S174"/>
    <mergeCell ref="R175:S175"/>
    <mergeCell ref="R199:S199"/>
    <mergeCell ref="R200:S200"/>
    <mergeCell ref="R191:S191"/>
    <mergeCell ref="R192:S192"/>
    <mergeCell ref="R193:S193"/>
    <mergeCell ref="R194:S194"/>
    <mergeCell ref="R195:S195"/>
    <mergeCell ref="R186:S186"/>
    <mergeCell ref="R187:S187"/>
    <mergeCell ref="R188:S188"/>
    <mergeCell ref="R189:S189"/>
    <mergeCell ref="R190:S190"/>
    <mergeCell ref="R196:S196"/>
    <mergeCell ref="R197:S197"/>
    <mergeCell ref="R198:S198"/>
    <mergeCell ref="R181:S181"/>
    <mergeCell ref="R182:S182"/>
    <mergeCell ref="R183:S183"/>
    <mergeCell ref="R184:S184"/>
    <mergeCell ref="R185:S185"/>
    <mergeCell ref="R176:S176"/>
    <mergeCell ref="R177:S177"/>
    <mergeCell ref="R178:S178"/>
    <mergeCell ref="R179:S179"/>
    <mergeCell ref="R180:S180"/>
    <mergeCell ref="B172:C172"/>
    <mergeCell ref="D172:E172"/>
    <mergeCell ref="B173:C173"/>
    <mergeCell ref="D173:E173"/>
    <mergeCell ref="B174:C174"/>
    <mergeCell ref="D174:E174"/>
    <mergeCell ref="B184:C184"/>
    <mergeCell ref="D184:E184"/>
    <mergeCell ref="B185:C185"/>
    <mergeCell ref="D185:E185"/>
    <mergeCell ref="O184:P184"/>
    <mergeCell ref="O185:P185"/>
    <mergeCell ref="J176:K176"/>
    <mergeCell ref="J177:K177"/>
    <mergeCell ref="J178:K178"/>
    <mergeCell ref="J179:K179"/>
    <mergeCell ref="J180:K180"/>
    <mergeCell ref="D183:E183"/>
    <mergeCell ref="D191:E191"/>
    <mergeCell ref="B170:C170"/>
    <mergeCell ref="D170:E170"/>
    <mergeCell ref="B171:C171"/>
    <mergeCell ref="D171:E171"/>
    <mergeCell ref="B178:C178"/>
    <mergeCell ref="D178:E178"/>
    <mergeCell ref="B179:C179"/>
    <mergeCell ref="D179:E179"/>
    <mergeCell ref="B180:C180"/>
    <mergeCell ref="D180:E180"/>
    <mergeCell ref="B175:C175"/>
    <mergeCell ref="D175:E175"/>
    <mergeCell ref="B176:C176"/>
    <mergeCell ref="D176:E176"/>
    <mergeCell ref="B177:C177"/>
    <mergeCell ref="D177:E177"/>
    <mergeCell ref="B187:C187"/>
    <mergeCell ref="D187:E187"/>
    <mergeCell ref="B188:C188"/>
    <mergeCell ref="D188:E188"/>
    <mergeCell ref="B189:C189"/>
    <mergeCell ref="D189:E189"/>
    <mergeCell ref="B186:C186"/>
    <mergeCell ref="F200:G200"/>
    <mergeCell ref="B193:C193"/>
    <mergeCell ref="D193:E193"/>
    <mergeCell ref="B194:C194"/>
    <mergeCell ref="D194:E194"/>
    <mergeCell ref="B195:C195"/>
    <mergeCell ref="D195:E195"/>
    <mergeCell ref="B190:C190"/>
    <mergeCell ref="D190:E190"/>
    <mergeCell ref="B191:C191"/>
    <mergeCell ref="B192:C192"/>
    <mergeCell ref="D192:E192"/>
    <mergeCell ref="B199:C199"/>
    <mergeCell ref="D199:E199"/>
    <mergeCell ref="F195:G195"/>
    <mergeCell ref="F196:G196"/>
    <mergeCell ref="B196:C196"/>
    <mergeCell ref="D196:E196"/>
    <mergeCell ref="B197:C197"/>
    <mergeCell ref="D197:E197"/>
    <mergeCell ref="B198:C198"/>
    <mergeCell ref="D198:E198"/>
    <mergeCell ref="F197:G197"/>
    <mergeCell ref="F198:G198"/>
    <mergeCell ref="D186:E186"/>
    <mergeCell ref="B181:C181"/>
    <mergeCell ref="D181:E181"/>
    <mergeCell ref="B182:C182"/>
    <mergeCell ref="D182:E182"/>
    <mergeCell ref="B183:C183"/>
    <mergeCell ref="H146:I146"/>
    <mergeCell ref="H147:I147"/>
    <mergeCell ref="B157:D157"/>
    <mergeCell ref="E157:F157"/>
    <mergeCell ref="H157:I157"/>
    <mergeCell ref="F170:G170"/>
    <mergeCell ref="F171:G171"/>
    <mergeCell ref="H171:I171"/>
    <mergeCell ref="H172:I172"/>
    <mergeCell ref="H173:I173"/>
    <mergeCell ref="H180:I180"/>
    <mergeCell ref="H181:I181"/>
    <mergeCell ref="H182:I182"/>
    <mergeCell ref="H183:I183"/>
    <mergeCell ref="H170:I170"/>
    <mergeCell ref="H179:I179"/>
    <mergeCell ref="B165:C165"/>
    <mergeCell ref="D165:E165"/>
    <mergeCell ref="N156:O156"/>
    <mergeCell ref="B155:D155"/>
    <mergeCell ref="E155:F155"/>
    <mergeCell ref="H155:I155"/>
    <mergeCell ref="J155:K155"/>
    <mergeCell ref="L155:M155"/>
    <mergeCell ref="N157:O157"/>
    <mergeCell ref="N151:O151"/>
    <mergeCell ref="B152:D152"/>
    <mergeCell ref="E152:F152"/>
    <mergeCell ref="H152:I152"/>
    <mergeCell ref="N152:O152"/>
    <mergeCell ref="J157:K157"/>
    <mergeCell ref="L157:M157"/>
    <mergeCell ref="N155:O155"/>
    <mergeCell ref="H156:I156"/>
    <mergeCell ref="J156:K156"/>
    <mergeCell ref="N101:N102"/>
    <mergeCell ref="O101:Q102"/>
    <mergeCell ref="O103:Q103"/>
    <mergeCell ref="O104:Q104"/>
    <mergeCell ref="O105:Q105"/>
    <mergeCell ref="O106:Q106"/>
    <mergeCell ref="O107:Q107"/>
    <mergeCell ref="O108:Q108"/>
    <mergeCell ref="O109:Q109"/>
    <mergeCell ref="E116:F116"/>
    <mergeCell ref="E117:F117"/>
    <mergeCell ref="B104:D104"/>
    <mergeCell ref="B114:D114"/>
    <mergeCell ref="B115:D115"/>
    <mergeCell ref="B116:D116"/>
    <mergeCell ref="B117:D117"/>
    <mergeCell ref="E104:F104"/>
    <mergeCell ref="E105:F105"/>
    <mergeCell ref="E115:F115"/>
    <mergeCell ref="B111:D111"/>
    <mergeCell ref="B112:D112"/>
    <mergeCell ref="B113:D113"/>
    <mergeCell ref="E106:F106"/>
    <mergeCell ref="E107:F107"/>
    <mergeCell ref="E108:F108"/>
    <mergeCell ref="E109:F109"/>
    <mergeCell ref="E110:F110"/>
    <mergeCell ref="B108:D108"/>
    <mergeCell ref="B109:D109"/>
    <mergeCell ref="B110:D110"/>
    <mergeCell ref="E111:F111"/>
    <mergeCell ref="E112:F112"/>
    <mergeCell ref="E113:F113"/>
    <mergeCell ref="K7:M7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E18:I18"/>
    <mergeCell ref="E34:I34"/>
    <mergeCell ref="K34:M34"/>
    <mergeCell ref="E35:I35"/>
    <mergeCell ref="E36:I36"/>
    <mergeCell ref="E37:I37"/>
    <mergeCell ref="K35:M35"/>
    <mergeCell ref="K36:M36"/>
    <mergeCell ref="K37:M37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A206:A207"/>
    <mergeCell ref="B206:C207"/>
    <mergeCell ref="D206:F207"/>
    <mergeCell ref="I206:I207"/>
    <mergeCell ref="G206:H206"/>
    <mergeCell ref="J206:J207"/>
    <mergeCell ref="K206:M207"/>
    <mergeCell ref="K54:M54"/>
    <mergeCell ref="B128:K128"/>
    <mergeCell ref="B133:E133"/>
    <mergeCell ref="B134:E134"/>
    <mergeCell ref="B131:E131"/>
    <mergeCell ref="B135:E135"/>
    <mergeCell ref="B132:E132"/>
    <mergeCell ref="F129:J129"/>
    <mergeCell ref="A129:E130"/>
    <mergeCell ref="H121:J121"/>
    <mergeCell ref="H122:J122"/>
    <mergeCell ref="H123:J123"/>
    <mergeCell ref="H124:J124"/>
    <mergeCell ref="H125:J125"/>
    <mergeCell ref="H126:J126"/>
    <mergeCell ref="B121:E121"/>
    <mergeCell ref="G103:H103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K224:M224"/>
    <mergeCell ref="K225:M225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D224:F224"/>
    <mergeCell ref="D225:F225"/>
    <mergeCell ref="D222:F222"/>
    <mergeCell ref="D223:F223"/>
    <mergeCell ref="K223:M223"/>
    <mergeCell ref="D208:F208"/>
    <mergeCell ref="D209:F209"/>
    <mergeCell ref="D210:F210"/>
    <mergeCell ref="D211:F211"/>
    <mergeCell ref="D212:F212"/>
    <mergeCell ref="D213:F213"/>
    <mergeCell ref="D214:F214"/>
    <mergeCell ref="D215:F215"/>
    <mergeCell ref="D216:F216"/>
    <mergeCell ref="N150:O150"/>
    <mergeCell ref="B151:D151"/>
    <mergeCell ref="E151:F151"/>
    <mergeCell ref="H151:I151"/>
    <mergeCell ref="J151:K151"/>
    <mergeCell ref="L151:M151"/>
    <mergeCell ref="N206:O206"/>
    <mergeCell ref="P206:P207"/>
    <mergeCell ref="O199:P199"/>
    <mergeCell ref="O200:P200"/>
    <mergeCell ref="O194:P194"/>
    <mergeCell ref="O195:P195"/>
    <mergeCell ref="O196:P196"/>
    <mergeCell ref="O197:P197"/>
    <mergeCell ref="O198:P198"/>
    <mergeCell ref="O189:P189"/>
    <mergeCell ref="O190:P190"/>
    <mergeCell ref="O191:P191"/>
    <mergeCell ref="O192:P192"/>
    <mergeCell ref="O193:P193"/>
    <mergeCell ref="B200:C200"/>
    <mergeCell ref="D200:E200"/>
    <mergeCell ref="F199:G199"/>
    <mergeCell ref="L156:M156"/>
    <mergeCell ref="K208:M208"/>
    <mergeCell ref="K209:M209"/>
    <mergeCell ref="K210:M210"/>
    <mergeCell ref="K211:M211"/>
    <mergeCell ref="K212:M212"/>
    <mergeCell ref="K213:M213"/>
    <mergeCell ref="A204:P204"/>
    <mergeCell ref="B148:D148"/>
    <mergeCell ref="E148:F148"/>
    <mergeCell ref="H148:I148"/>
    <mergeCell ref="J148:K148"/>
    <mergeCell ref="L148:M148"/>
    <mergeCell ref="N148:O148"/>
    <mergeCell ref="B149:D149"/>
    <mergeCell ref="E149:F149"/>
    <mergeCell ref="H149:I149"/>
    <mergeCell ref="J149:K149"/>
    <mergeCell ref="L149:M149"/>
    <mergeCell ref="N149:O149"/>
    <mergeCell ref="B150:D150"/>
    <mergeCell ref="E150:F150"/>
    <mergeCell ref="H150:I150"/>
    <mergeCell ref="J150:K150"/>
    <mergeCell ref="L150:M150"/>
    <mergeCell ref="K214:M214"/>
    <mergeCell ref="K215:M215"/>
    <mergeCell ref="K216:M216"/>
    <mergeCell ref="K217:M217"/>
    <mergeCell ref="K218:M218"/>
    <mergeCell ref="K219:M219"/>
    <mergeCell ref="K220:M220"/>
    <mergeCell ref="K221:M221"/>
    <mergeCell ref="K222:M222"/>
    <mergeCell ref="A119:C119"/>
    <mergeCell ref="A159:D159"/>
    <mergeCell ref="P230:Q230"/>
    <mergeCell ref="P231:Q231"/>
    <mergeCell ref="P232:Q232"/>
    <mergeCell ref="I230:L230"/>
    <mergeCell ref="I231:L231"/>
    <mergeCell ref="I232:L232"/>
    <mergeCell ref="B230:E230"/>
    <mergeCell ref="B231:E231"/>
    <mergeCell ref="B232:E232"/>
    <mergeCell ref="A208:A210"/>
    <mergeCell ref="A211:A213"/>
    <mergeCell ref="A214:A216"/>
    <mergeCell ref="A217:A219"/>
    <mergeCell ref="A220:A222"/>
    <mergeCell ref="A223:A225"/>
    <mergeCell ref="J152:K152"/>
    <mergeCell ref="L152:M152"/>
    <mergeCell ref="D217:F217"/>
    <mergeCell ref="D218:F218"/>
    <mergeCell ref="D219:F219"/>
    <mergeCell ref="D220:F220"/>
    <mergeCell ref="D221:F221"/>
    <mergeCell ref="B233:E233"/>
    <mergeCell ref="B234:E234"/>
    <mergeCell ref="B235:E235"/>
    <mergeCell ref="B228:G228"/>
    <mergeCell ref="P238:R238"/>
    <mergeCell ref="P239:R239"/>
    <mergeCell ref="P240:R240"/>
    <mergeCell ref="P241:R241"/>
    <mergeCell ref="P242:R242"/>
    <mergeCell ref="B237:G237"/>
    <mergeCell ref="P233:Q233"/>
    <mergeCell ref="P234:Q234"/>
    <mergeCell ref="P235:Q235"/>
    <mergeCell ref="I233:L233"/>
    <mergeCell ref="I234:L234"/>
    <mergeCell ref="I235:L235"/>
    <mergeCell ref="P243:R243"/>
    <mergeCell ref="I238:L238"/>
    <mergeCell ref="I239:L239"/>
    <mergeCell ref="I240:L240"/>
    <mergeCell ref="I241:L241"/>
    <mergeCell ref="I242:L242"/>
    <mergeCell ref="I243:L243"/>
    <mergeCell ref="C238:E238"/>
    <mergeCell ref="C239:E239"/>
    <mergeCell ref="C240:E240"/>
    <mergeCell ref="C241:E241"/>
    <mergeCell ref="C242:E242"/>
    <mergeCell ref="C243:E243"/>
  </mergeCells>
  <dataValidations count="12">
    <dataValidation type="list" allowBlank="1" showInputMessage="1" showErrorMessage="1" sqref="J62:J81 J35:J54 J8:J27">
      <formula1>"มี,ไม่มี"</formula1>
    </dataValidation>
    <dataValidation type="list" allowBlank="1" showInputMessage="1" showErrorMessage="1" sqref="I103:M117">
      <formula1>"ผศ.,รศ.,ศ.,ศึกษาต่อ,-"</formula1>
    </dataValidation>
    <dataValidation type="list" allowBlank="1" showInputMessage="1" showErrorMessage="1" sqref="E103:F117">
      <formula1>"ปริญญาเอก,ปริญญาโท,ปริญญาตรี,-"</formula1>
    </dataValidation>
    <dataValidation type="list" allowBlank="1" showInputMessage="1" showErrorMessage="1" sqref="G103:G117">
      <formula1>"ศาสตราจารย์,รองศาสตราจารย์,ผู้ช่วยศาสตราจารย์,อาจารย์,-"</formula1>
    </dataValidation>
    <dataValidation type="list" allowBlank="1" showInputMessage="1" showErrorMessage="1" sqref="O163:O200">
      <formula1>"ทุนส่วนตัว, ทุนสนับสนุนภายในคณะ,ทุนสนับสนุนภายในมหาวิทยาลัย, ทุนสนับสนุนภายนอกมหาวิทยาลัย, อื่นๆ (ระบุ),-"</formula1>
    </dataValidation>
    <dataValidation type="list" allowBlank="1" showInputMessage="1" showErrorMessage="1" sqref="F163:F200">
      <formula1>"ศึกษาต่อ, ฝึกอบรม, สัมมนา, ศึกษาดูงาน,ประชุมวิชาการ, นำเสนอผลงาน, อื่นๆ,-"</formula1>
    </dataValidation>
    <dataValidation type="list" allowBlank="1" showInputMessage="1" showErrorMessage="1" sqref="H163:H200">
      <formula1>"ภายในมหาวิทยาลัย, ภายนอกมหาวิทยาลัย, ต่างประเทศ,-"</formula1>
    </dataValidation>
    <dataValidation type="list" allowBlank="1" showInputMessage="1" showErrorMessage="1" sqref="F131:J137">
      <formula1>"0,1,2,3,4,5,6,7,8,9,10"</formula1>
    </dataValidation>
    <dataValidation type="list" allowBlank="1" showInputMessage="1" showErrorMessage="1" sqref="E143:F157 J143:O157">
      <formula1>"0,1,2,3,4,5,6,7,8,9,10,11,12,13,14,15,16,17,18,&gt;18"</formula1>
    </dataValidation>
    <dataValidation type="list" allowBlank="1" showInputMessage="1" showErrorMessage="1" sqref="G143:H157">
      <formula1>"0,1,2,3,4,5,&gt;5"</formula1>
    </dataValidation>
    <dataValidation type="list" allowBlank="1" showInputMessage="1" showErrorMessage="1" sqref="I83 G208:H225 N208:O225">
      <formula1>"0,1,2,3,4,5"</formula1>
    </dataValidation>
    <dataValidation type="list" allowBlank="1" showInputMessage="1" showErrorMessage="1" sqref="J208">
      <formula1>"หลีกเลี่ยงความเสี่ยง,ควบคุมความเสี่ยง,รับความเสี่ยง,ถ่ายโอนความเสี่ยง"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19</vt:i4>
      </vt:variant>
    </vt:vector>
  </HeadingPairs>
  <TitlesOfParts>
    <vt:vector size="19" baseType="lpstr">
      <vt:lpstr>1.1</vt:lpstr>
      <vt:lpstr>2.1</vt:lpstr>
      <vt:lpstr>2.2</vt:lpstr>
      <vt:lpstr>3.1</vt:lpstr>
      <vt:lpstr>3.2</vt:lpstr>
      <vt:lpstr>3.3</vt:lpstr>
      <vt:lpstr>3.3-4ปี</vt:lpstr>
      <vt:lpstr>3.3-5ปี</vt:lpstr>
      <vt:lpstr>4.1</vt:lpstr>
      <vt:lpstr>4.2</vt:lpstr>
      <vt:lpstr>4.3</vt:lpstr>
      <vt:lpstr>5.1</vt:lpstr>
      <vt:lpstr>5.2</vt:lpstr>
      <vt:lpstr>5.3</vt:lpstr>
      <vt:lpstr>5.4</vt:lpstr>
      <vt:lpstr>6.1</vt:lpstr>
      <vt:lpstr>SAR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2017-03-18T02:06:33Z</cp:lastPrinted>
  <dcterms:created xsi:type="dcterms:W3CDTF">2015-02-17T06:09:40Z</dcterms:created>
  <dcterms:modified xsi:type="dcterms:W3CDTF">2017-12-14T02:35:41Z</dcterms:modified>
</cp:coreProperties>
</file>